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FINANCIJSKI PLAN 2020-2022\FINANCIJSKI PLAN 2020-22\"/>
    </mc:Choice>
  </mc:AlternateContent>
  <workbookProtection workbookPassword="DE31" lockStructure="1"/>
  <bookViews>
    <workbookView xWindow="0" yWindow="0" windowWidth="28800" windowHeight="12030" firstSheet="2" activeTab="4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MARINA" localSheetId="4" hidden="1">'PLAN RASHODA I IZDATAKA'!#REF!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L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95" i="13"/>
  <c r="P83" i="13"/>
  <c r="P57" i="13"/>
  <c r="P29" i="13"/>
  <c r="P16" i="13"/>
  <c r="P103" i="13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1" i="13"/>
  <c r="P92" i="13"/>
  <c r="P67" i="13"/>
  <c r="P58" i="13"/>
  <c r="P50" i="13"/>
  <c r="P30" i="13"/>
  <c r="P21" i="13"/>
  <c r="P13" i="13"/>
  <c r="P100" i="13"/>
  <c r="P91" i="13"/>
  <c r="P66" i="13"/>
  <c r="P49" i="13"/>
  <c r="P24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96" i="13"/>
  <c r="P88" i="13"/>
  <c r="P84" i="13"/>
  <c r="P63" i="13"/>
  <c r="P54" i="13"/>
  <c r="P35" i="13"/>
  <c r="P25" i="13"/>
  <c r="P17" i="13"/>
  <c r="P104" i="13"/>
  <c r="P87" i="13"/>
  <c r="P61" i="13"/>
  <c r="P53" i="13"/>
  <c r="P34" i="13"/>
  <c r="P20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L108" i="14"/>
  <c r="J108" i="14"/>
  <c r="O107" i="14"/>
  <c r="N107" i="14"/>
  <c r="L107" i="14"/>
  <c r="J107" i="14"/>
  <c r="O105" i="14"/>
  <c r="N105" i="14"/>
  <c r="L105" i="14"/>
  <c r="J105" i="14"/>
  <c r="O104" i="14"/>
  <c r="N104" i="14"/>
  <c r="L104" i="14"/>
  <c r="J104" i="14"/>
  <c r="O103" i="14"/>
  <c r="N103" i="14"/>
  <c r="L103" i="14"/>
  <c r="J103" i="14"/>
  <c r="O102" i="14"/>
  <c r="N102" i="14"/>
  <c r="L102" i="14"/>
  <c r="J102" i="14"/>
  <c r="O101" i="14"/>
  <c r="N101" i="14"/>
  <c r="L101" i="14"/>
  <c r="J101" i="14"/>
  <c r="O99" i="14"/>
  <c r="N99" i="14"/>
  <c r="L99" i="14"/>
  <c r="J99" i="14"/>
  <c r="O98" i="14"/>
  <c r="N98" i="14"/>
  <c r="L98" i="14"/>
  <c r="J98" i="14"/>
  <c r="O97" i="14"/>
  <c r="N97" i="14"/>
  <c r="L97" i="14"/>
  <c r="J97" i="14"/>
  <c r="O96" i="14"/>
  <c r="N96" i="14"/>
  <c r="L96" i="14"/>
  <c r="J96" i="14"/>
  <c r="O95" i="14"/>
  <c r="N95" i="14"/>
  <c r="L95" i="14"/>
  <c r="J95" i="14"/>
  <c r="O94" i="14"/>
  <c r="N94" i="14"/>
  <c r="L94" i="14"/>
  <c r="J94" i="14"/>
  <c r="O93" i="14"/>
  <c r="N93" i="14"/>
  <c r="L93" i="14"/>
  <c r="J93" i="14"/>
  <c r="J81" i="14"/>
  <c r="L81" i="14"/>
  <c r="N81" i="14"/>
  <c r="O81" i="14"/>
  <c r="J82" i="14"/>
  <c r="L82" i="14"/>
  <c r="N82" i="14"/>
  <c r="O82" i="14"/>
  <c r="J83" i="14"/>
  <c r="L83" i="14"/>
  <c r="N83" i="14"/>
  <c r="O83" i="14"/>
  <c r="J84" i="14"/>
  <c r="L84" i="14"/>
  <c r="N84" i="14"/>
  <c r="O84" i="14"/>
  <c r="J85" i="14"/>
  <c r="L85" i="14"/>
  <c r="N85" i="14"/>
  <c r="O85" i="14"/>
  <c r="J87" i="14"/>
  <c r="L87" i="14"/>
  <c r="N87" i="14"/>
  <c r="O87" i="14"/>
  <c r="O88" i="14"/>
  <c r="N88" i="14"/>
  <c r="L88" i="14"/>
  <c r="J88" i="14"/>
  <c r="O79" i="14"/>
  <c r="N79" i="14"/>
  <c r="L79" i="14"/>
  <c r="J79" i="14"/>
  <c r="O78" i="14"/>
  <c r="N78" i="14"/>
  <c r="L78" i="14"/>
  <c r="J78" i="14"/>
  <c r="O77" i="14"/>
  <c r="N77" i="14"/>
  <c r="L77" i="14"/>
  <c r="J77" i="14"/>
  <c r="O76" i="14"/>
  <c r="N76" i="14"/>
  <c r="L76" i="14"/>
  <c r="J76" i="14"/>
  <c r="O75" i="14"/>
  <c r="N75" i="14"/>
  <c r="L75" i="14"/>
  <c r="J75" i="14"/>
  <c r="O74" i="14"/>
  <c r="N74" i="14"/>
  <c r="L74" i="14"/>
  <c r="J74" i="14"/>
  <c r="O73" i="14"/>
  <c r="N73" i="14"/>
  <c r="L73" i="14"/>
  <c r="J73" i="14"/>
  <c r="P86" i="14" l="1"/>
  <c r="L86" i="14"/>
  <c r="O86" i="14"/>
  <c r="N86" i="14"/>
  <c r="J86" i="14"/>
  <c r="O68" i="14"/>
  <c r="N68" i="14"/>
  <c r="L68" i="14"/>
  <c r="J68" i="14"/>
  <c r="O67" i="14"/>
  <c r="N67" i="14"/>
  <c r="L67" i="14"/>
  <c r="J67" i="14"/>
  <c r="O66" i="14"/>
  <c r="N66" i="14"/>
  <c r="L66" i="14"/>
  <c r="J66" i="14"/>
  <c r="O65" i="14"/>
  <c r="N65" i="14"/>
  <c r="L65" i="14"/>
  <c r="J65" i="14"/>
  <c r="O64" i="14"/>
  <c r="N64" i="14"/>
  <c r="L64" i="14"/>
  <c r="J64" i="14"/>
  <c r="O62" i="14"/>
  <c r="N62" i="14"/>
  <c r="L62" i="14"/>
  <c r="J62" i="14"/>
  <c r="O61" i="14"/>
  <c r="N61" i="14"/>
  <c r="L61" i="14"/>
  <c r="J61" i="14"/>
  <c r="O60" i="14"/>
  <c r="N60" i="14"/>
  <c r="L60" i="14"/>
  <c r="J60" i="14"/>
  <c r="O57" i="14"/>
  <c r="N57" i="14"/>
  <c r="L57" i="14"/>
  <c r="J57" i="14"/>
  <c r="O56" i="14"/>
  <c r="N56" i="14"/>
  <c r="L56" i="14"/>
  <c r="J56" i="14"/>
  <c r="O55" i="14"/>
  <c r="N55" i="14"/>
  <c r="L55" i="14"/>
  <c r="J55" i="14"/>
  <c r="O54" i="14"/>
  <c r="N54" i="14"/>
  <c r="L54" i="14"/>
  <c r="J54" i="14"/>
  <c r="O52" i="14"/>
  <c r="N52" i="14"/>
  <c r="L52" i="14"/>
  <c r="J52" i="14"/>
  <c r="O48" i="14"/>
  <c r="N48" i="14"/>
  <c r="L48" i="14"/>
  <c r="J48" i="14"/>
  <c r="O47" i="14"/>
  <c r="N47" i="14"/>
  <c r="L47" i="14"/>
  <c r="J47" i="14"/>
  <c r="O46" i="14"/>
  <c r="N46" i="14"/>
  <c r="L46" i="14"/>
  <c r="J46" i="14"/>
  <c r="O45" i="14"/>
  <c r="N45" i="14"/>
  <c r="L45" i="14"/>
  <c r="J45" i="14"/>
  <c r="O44" i="14"/>
  <c r="N44" i="14"/>
  <c r="L44" i="14"/>
  <c r="J44" i="14"/>
  <c r="O43" i="14"/>
  <c r="N43" i="14"/>
  <c r="L43" i="14"/>
  <c r="J43" i="14"/>
  <c r="O41" i="14"/>
  <c r="N41" i="14"/>
  <c r="L41" i="14"/>
  <c r="J41" i="14"/>
  <c r="O40" i="14"/>
  <c r="N40" i="14"/>
  <c r="L40" i="14"/>
  <c r="J40" i="14"/>
  <c r="L59" i="14" l="1"/>
  <c r="J59" i="14"/>
  <c r="N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L37" i="14"/>
  <c r="J37" i="14"/>
  <c r="O36" i="14"/>
  <c r="N36" i="14"/>
  <c r="L36" i="14"/>
  <c r="J36" i="14"/>
  <c r="O35" i="14"/>
  <c r="N35" i="14"/>
  <c r="L35" i="14"/>
  <c r="J35" i="14"/>
  <c r="O34" i="14"/>
  <c r="N34" i="14"/>
  <c r="L34" i="14"/>
  <c r="J34" i="14"/>
  <c r="O32" i="14"/>
  <c r="N32" i="14"/>
  <c r="L32" i="14"/>
  <c r="J32" i="14"/>
  <c r="O31" i="14"/>
  <c r="N31" i="14"/>
  <c r="L31" i="14"/>
  <c r="J31" i="14"/>
  <c r="O29" i="14"/>
  <c r="N29" i="14"/>
  <c r="L29" i="14"/>
  <c r="J29" i="14"/>
  <c r="O28" i="14"/>
  <c r="N28" i="14"/>
  <c r="L28" i="14"/>
  <c r="J28" i="14"/>
  <c r="O27" i="14"/>
  <c r="N27" i="14"/>
  <c r="L27" i="14"/>
  <c r="J27" i="14"/>
  <c r="O26" i="14"/>
  <c r="N26" i="14"/>
  <c r="L26" i="14"/>
  <c r="J26" i="14"/>
  <c r="O25" i="14"/>
  <c r="N25" i="14"/>
  <c r="L25" i="14"/>
  <c r="J25" i="14"/>
  <c r="O24" i="14"/>
  <c r="N24" i="14"/>
  <c r="L24" i="14"/>
  <c r="J24" i="14"/>
  <c r="O22" i="14"/>
  <c r="N22" i="14"/>
  <c r="L22" i="14"/>
  <c r="J22" i="14"/>
  <c r="O21" i="14"/>
  <c r="N21" i="14"/>
  <c r="L21" i="14"/>
  <c r="J21" i="14"/>
  <c r="O20" i="14"/>
  <c r="N20" i="14"/>
  <c r="L20" i="14"/>
  <c r="J20" i="14"/>
  <c r="O18" i="14"/>
  <c r="N18" i="14"/>
  <c r="L18" i="14"/>
  <c r="J18" i="14"/>
  <c r="O17" i="14"/>
  <c r="N17" i="14"/>
  <c r="L17" i="14"/>
  <c r="J17" i="14"/>
  <c r="O16" i="14"/>
  <c r="N16" i="14"/>
  <c r="L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E34" i="14" s="1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J14" i="14"/>
  <c r="I14" i="14"/>
  <c r="O13" i="14"/>
  <c r="N13" i="14"/>
  <c r="M13" i="14"/>
  <c r="J13" i="14"/>
  <c r="I13" i="14"/>
  <c r="H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F11" i="14"/>
  <c r="E11" i="14"/>
  <c r="O10" i="14"/>
  <c r="N10" i="14"/>
  <c r="M10" i="14"/>
  <c r="L10" i="14"/>
  <c r="K10" i="14"/>
  <c r="J10" i="14"/>
  <c r="I10" i="14"/>
  <c r="H10" i="14"/>
  <c r="O8" i="14"/>
  <c r="N8" i="14"/>
  <c r="M8" i="14"/>
  <c r="K8" i="14"/>
  <c r="J8" i="14"/>
  <c r="I8" i="14"/>
  <c r="H8" i="14"/>
  <c r="E8" i="14"/>
  <c r="O7" i="14"/>
  <c r="N7" i="14"/>
  <c r="M7" i="14"/>
  <c r="K7" i="14"/>
  <c r="J7" i="14"/>
  <c r="I7" i="14"/>
  <c r="H7" i="14"/>
  <c r="F7" i="14"/>
  <c r="O6" i="14"/>
  <c r="N6" i="14"/>
  <c r="M6" i="14"/>
  <c r="L6" i="14"/>
  <c r="K6" i="14"/>
  <c r="J6" i="14"/>
  <c r="I6" i="14"/>
  <c r="H6" i="14"/>
  <c r="F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104" i="14" l="1"/>
  <c r="E99" i="14"/>
  <c r="E95" i="14"/>
  <c r="E82" i="14"/>
  <c r="E87" i="14"/>
  <c r="E77" i="14"/>
  <c r="E73" i="14"/>
  <c r="E108" i="14"/>
  <c r="E103" i="14"/>
  <c r="E98" i="14"/>
  <c r="E94" i="14"/>
  <c r="E83" i="14"/>
  <c r="E88" i="14"/>
  <c r="E76" i="14"/>
  <c r="E107" i="14"/>
  <c r="E102" i="14"/>
  <c r="E97" i="14"/>
  <c r="E93" i="14"/>
  <c r="E84" i="14"/>
  <c r="E79" i="14"/>
  <c r="E75" i="14"/>
  <c r="E105" i="14"/>
  <c r="E101" i="14"/>
  <c r="E96" i="14"/>
  <c r="E81" i="14"/>
  <c r="E85" i="14"/>
  <c r="E78" i="14"/>
  <c r="E74" i="14"/>
  <c r="E18" i="14"/>
  <c r="E24" i="14"/>
  <c r="E28" i="14"/>
  <c r="E50" i="14"/>
  <c r="E49" i="14" s="1"/>
  <c r="E66" i="14"/>
  <c r="E61" i="14"/>
  <c r="E55" i="14"/>
  <c r="E47" i="14"/>
  <c r="E43" i="14"/>
  <c r="E65" i="14"/>
  <c r="E60" i="14"/>
  <c r="E54" i="14"/>
  <c r="E46" i="14"/>
  <c r="E41" i="14"/>
  <c r="E40" i="14"/>
  <c r="E68" i="14"/>
  <c r="E64" i="14"/>
  <c r="E57" i="14"/>
  <c r="E52" i="14"/>
  <c r="E45" i="14"/>
  <c r="E67" i="14"/>
  <c r="E62" i="14"/>
  <c r="E56" i="14"/>
  <c r="E48" i="14"/>
  <c r="E44" i="14"/>
  <c r="E20" i="14"/>
  <c r="E25" i="14"/>
  <c r="E29" i="14"/>
  <c r="E35" i="14"/>
  <c r="E16" i="14"/>
  <c r="E21" i="14"/>
  <c r="E26" i="14"/>
  <c r="E31" i="14"/>
  <c r="E36" i="14"/>
  <c r="E17" i="14"/>
  <c r="E22" i="14"/>
  <c r="E27" i="14"/>
  <c r="E32" i="14"/>
  <c r="E37" i="14"/>
  <c r="K36" i="14"/>
  <c r="K13" i="14"/>
  <c r="K17" i="14"/>
  <c r="K20" i="14"/>
  <c r="K22" i="14"/>
  <c r="K25" i="14"/>
  <c r="K27" i="14"/>
  <c r="K29" i="14"/>
  <c r="K32" i="14"/>
  <c r="K35" i="14"/>
  <c r="K37" i="14"/>
  <c r="K14" i="14"/>
  <c r="K108" i="14"/>
  <c r="K105" i="14"/>
  <c r="K103" i="14"/>
  <c r="K101" i="14"/>
  <c r="K98" i="14"/>
  <c r="K96" i="14"/>
  <c r="K94" i="14"/>
  <c r="K88" i="14"/>
  <c r="K78" i="14"/>
  <c r="K76" i="14"/>
  <c r="K74" i="14"/>
  <c r="K82" i="14"/>
  <c r="K84" i="14"/>
  <c r="K87" i="14"/>
  <c r="K107" i="14"/>
  <c r="K104" i="14"/>
  <c r="K102" i="14"/>
  <c r="K99" i="14"/>
  <c r="K97" i="14"/>
  <c r="K95" i="14"/>
  <c r="K93" i="14"/>
  <c r="K79" i="14"/>
  <c r="K77" i="14"/>
  <c r="K75" i="14"/>
  <c r="K73" i="14"/>
  <c r="K81" i="14"/>
  <c r="K83" i="14"/>
  <c r="K85" i="14"/>
  <c r="K16" i="14"/>
  <c r="K18" i="14"/>
  <c r="K21" i="14"/>
  <c r="K24" i="14"/>
  <c r="K26" i="14"/>
  <c r="K28" i="14"/>
  <c r="K31" i="14"/>
  <c r="K34" i="14"/>
  <c r="K50" i="14"/>
  <c r="K67" i="14"/>
  <c r="K65" i="14"/>
  <c r="K62" i="14"/>
  <c r="K60" i="14"/>
  <c r="K56" i="14"/>
  <c r="K54" i="14"/>
  <c r="K48" i="14"/>
  <c r="K46" i="14"/>
  <c r="K44" i="14"/>
  <c r="K41" i="14"/>
  <c r="K68" i="14"/>
  <c r="K66" i="14"/>
  <c r="K64" i="14"/>
  <c r="K61" i="14"/>
  <c r="K57" i="14"/>
  <c r="K55" i="14"/>
  <c r="K52" i="14"/>
  <c r="K47" i="14"/>
  <c r="K45" i="14"/>
  <c r="K43" i="14"/>
  <c r="K40" i="14"/>
  <c r="H14" i="14"/>
  <c r="H35" i="14"/>
  <c r="H20" i="14"/>
  <c r="H25" i="14"/>
  <c r="H29" i="14"/>
  <c r="H50" i="14"/>
  <c r="H68" i="14"/>
  <c r="H64" i="14"/>
  <c r="H57" i="14"/>
  <c r="H52" i="14"/>
  <c r="H45" i="14"/>
  <c r="H40" i="14"/>
  <c r="H65" i="14"/>
  <c r="H60" i="14"/>
  <c r="H54" i="14"/>
  <c r="H46" i="14"/>
  <c r="H41" i="14"/>
  <c r="H66" i="14"/>
  <c r="H61" i="14"/>
  <c r="H55" i="14"/>
  <c r="H47" i="14"/>
  <c r="H43" i="14"/>
  <c r="H67" i="14"/>
  <c r="H62" i="14"/>
  <c r="H56" i="14"/>
  <c r="H48" i="14"/>
  <c r="H44" i="14"/>
  <c r="H18" i="14"/>
  <c r="H24" i="14"/>
  <c r="H28" i="14"/>
  <c r="H34" i="14"/>
  <c r="H17" i="14"/>
  <c r="H22" i="14"/>
  <c r="H27" i="14"/>
  <c r="H32" i="14"/>
  <c r="H37" i="14"/>
  <c r="H16" i="14"/>
  <c r="H21" i="14"/>
  <c r="H26" i="14"/>
  <c r="H31" i="14"/>
  <c r="H36" i="14"/>
  <c r="M104" i="14"/>
  <c r="M99" i="14"/>
  <c r="M95" i="14"/>
  <c r="M84" i="14"/>
  <c r="M77" i="14"/>
  <c r="M73" i="14"/>
  <c r="M105" i="14"/>
  <c r="M101" i="14"/>
  <c r="M96" i="14"/>
  <c r="M83" i="14"/>
  <c r="M78" i="14"/>
  <c r="M74" i="14"/>
  <c r="M107" i="14"/>
  <c r="M102" i="14"/>
  <c r="M97" i="14"/>
  <c r="M93" i="14"/>
  <c r="M82" i="14"/>
  <c r="M87" i="14"/>
  <c r="M79" i="14"/>
  <c r="M75" i="14"/>
  <c r="M108" i="14"/>
  <c r="M103" i="14"/>
  <c r="M98" i="14"/>
  <c r="M94" i="14"/>
  <c r="M81" i="14"/>
  <c r="M85" i="14"/>
  <c r="M88" i="14"/>
  <c r="M76" i="14"/>
  <c r="M5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7" i="14"/>
  <c r="M46" i="14"/>
  <c r="M45" i="14"/>
  <c r="M44" i="14"/>
  <c r="M43" i="14"/>
  <c r="M41" i="14"/>
  <c r="M40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37" i="14"/>
  <c r="I34" i="14"/>
  <c r="I16" i="14"/>
  <c r="I21" i="14"/>
  <c r="I26" i="14"/>
  <c r="I31" i="14"/>
  <c r="I36" i="14"/>
  <c r="I17" i="14"/>
  <c r="I22" i="14"/>
  <c r="I27" i="14"/>
  <c r="I32" i="14"/>
  <c r="I37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18" i="14"/>
  <c r="I24" i="14"/>
  <c r="I28" i="14"/>
  <c r="I50" i="14"/>
  <c r="I67" i="14"/>
  <c r="I62" i="14"/>
  <c r="I56" i="14"/>
  <c r="I48" i="14"/>
  <c r="I44" i="14"/>
  <c r="I66" i="14"/>
  <c r="I61" i="14"/>
  <c r="I55" i="14"/>
  <c r="I47" i="14"/>
  <c r="I43" i="14"/>
  <c r="I65" i="14"/>
  <c r="I60" i="14"/>
  <c r="I54" i="14"/>
  <c r="I46" i="14"/>
  <c r="I41" i="14"/>
  <c r="I68" i="14"/>
  <c r="I64" i="14"/>
  <c r="I57" i="14"/>
  <c r="I52" i="14"/>
  <c r="I45" i="14"/>
  <c r="I40" i="14"/>
  <c r="I20" i="14"/>
  <c r="I25" i="14"/>
  <c r="I29" i="14"/>
  <c r="I35" i="14"/>
  <c r="G108" i="14"/>
  <c r="G103" i="14"/>
  <c r="G98" i="14"/>
  <c r="G94" i="14"/>
  <c r="G81" i="14"/>
  <c r="G85" i="14"/>
  <c r="G88" i="14"/>
  <c r="G76" i="14"/>
  <c r="G107" i="14"/>
  <c r="G102" i="14"/>
  <c r="G97" i="14"/>
  <c r="G93" i="14"/>
  <c r="G82" i="14"/>
  <c r="G87" i="14"/>
  <c r="G79" i="14"/>
  <c r="G75" i="14"/>
  <c r="G73" i="14"/>
  <c r="G105" i="14"/>
  <c r="G101" i="14"/>
  <c r="G96" i="14"/>
  <c r="G83" i="14"/>
  <c r="G78" i="14"/>
  <c r="G74" i="14"/>
  <c r="G104" i="14"/>
  <c r="G99" i="14"/>
  <c r="G95" i="14"/>
  <c r="G84" i="14"/>
  <c r="G77" i="14"/>
  <c r="G50" i="14"/>
  <c r="G67" i="14"/>
  <c r="G65" i="14"/>
  <c r="G62" i="14"/>
  <c r="G60" i="14"/>
  <c r="G56" i="14"/>
  <c r="G54" i="14"/>
  <c r="G48" i="14"/>
  <c r="G46" i="14"/>
  <c r="G44" i="14"/>
  <c r="G41" i="14"/>
  <c r="G68" i="14"/>
  <c r="G66" i="14"/>
  <c r="G64" i="14"/>
  <c r="G61" i="14"/>
  <c r="G57" i="14"/>
  <c r="G55" i="14"/>
  <c r="G52" i="14"/>
  <c r="G47" i="14"/>
  <c r="G45" i="14"/>
  <c r="G43" i="14"/>
  <c r="G40" i="14"/>
  <c r="G16" i="14"/>
  <c r="G18" i="14"/>
  <c r="G21" i="14"/>
  <c r="G24" i="14"/>
  <c r="G26" i="14"/>
  <c r="G28" i="14"/>
  <c r="G31" i="14"/>
  <c r="G34" i="14"/>
  <c r="G36" i="14"/>
  <c r="G17" i="14"/>
  <c r="G20" i="14"/>
  <c r="G22" i="14"/>
  <c r="G25" i="14"/>
  <c r="G27" i="14"/>
  <c r="G29" i="14"/>
  <c r="G32" i="14"/>
  <c r="G35" i="14"/>
  <c r="G37" i="14"/>
  <c r="F14" i="14"/>
  <c r="F8" i="14"/>
  <c r="F10" i="14"/>
  <c r="F13" i="14"/>
  <c r="F35" i="14"/>
  <c r="F82" i="14"/>
  <c r="F84" i="14"/>
  <c r="F87" i="14"/>
  <c r="F108" i="14"/>
  <c r="F105" i="14"/>
  <c r="F103" i="14"/>
  <c r="F101" i="14"/>
  <c r="F98" i="14"/>
  <c r="F96" i="14"/>
  <c r="F94" i="14"/>
  <c r="F88" i="14"/>
  <c r="F78" i="14"/>
  <c r="F76" i="14"/>
  <c r="F74" i="14"/>
  <c r="F81" i="14"/>
  <c r="F83" i="14"/>
  <c r="F85" i="14"/>
  <c r="F107" i="14"/>
  <c r="F104" i="14"/>
  <c r="F102" i="14"/>
  <c r="F99" i="14"/>
  <c r="F97" i="14"/>
  <c r="F95" i="14"/>
  <c r="F93" i="14"/>
  <c r="F79" i="14"/>
  <c r="F77" i="14"/>
  <c r="F75" i="14"/>
  <c r="F73" i="14"/>
  <c r="F20" i="14"/>
  <c r="F25" i="14"/>
  <c r="F29" i="14"/>
  <c r="F50" i="14"/>
  <c r="F49" i="14" s="1"/>
  <c r="F68" i="14"/>
  <c r="F64" i="14"/>
  <c r="F57" i="14"/>
  <c r="F52" i="14"/>
  <c r="F48" i="14"/>
  <c r="F44" i="14"/>
  <c r="F65" i="14"/>
  <c r="F60" i="14"/>
  <c r="F54" i="14"/>
  <c r="F45" i="14"/>
  <c r="F66" i="14"/>
  <c r="F61" i="14"/>
  <c r="F55" i="14"/>
  <c r="F46" i="14"/>
  <c r="F41" i="14"/>
  <c r="F40" i="14"/>
  <c r="F67" i="14"/>
  <c r="F62" i="14"/>
  <c r="F56" i="14"/>
  <c r="F47" i="14"/>
  <c r="F43" i="14"/>
  <c r="F18" i="14"/>
  <c r="F24" i="14"/>
  <c r="F28" i="14"/>
  <c r="F34" i="14"/>
  <c r="F17" i="14"/>
  <c r="F22" i="14"/>
  <c r="F27" i="14"/>
  <c r="F32" i="14"/>
  <c r="F37" i="14"/>
  <c r="F16" i="14"/>
  <c r="F21" i="14"/>
  <c r="F26" i="14"/>
  <c r="F31" i="14"/>
  <c r="F36" i="14"/>
  <c r="D6" i="14"/>
  <c r="D28" i="14"/>
  <c r="D7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E86" i="14" l="1"/>
  <c r="K86" i="14"/>
  <c r="K59" i="14"/>
  <c r="H59" i="14"/>
  <c r="H63" i="14"/>
  <c r="M59" i="14"/>
  <c r="M86" i="14"/>
  <c r="I59" i="14"/>
  <c r="I86" i="14"/>
  <c r="G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<sst xmlns="http://schemas.openxmlformats.org/spreadsheetml/2006/main" count="3274" uniqueCount="1669">
  <si>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</si>
  <si>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</si>
  <si>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</si>
  <si>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</si>
  <si>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</si>
  <si>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</si>
  <si>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</si>
  <si>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</si>
  <si>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</si>
  <si>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</si>
  <si>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</si>
  <si>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</si>
  <si>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</si>
  <si>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</si>
  <si>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</si>
  <si>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</si>
  <si>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</si>
  <si>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</si>
  <si>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</si>
  <si>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</si>
  <si>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</si>
  <si>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</si>
  <si>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</si>
  <si>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</si>
  <si>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</si>
  <si>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</si>
  <si>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</si>
  <si>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</si>
  <si>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</si>
  <si>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</si>
  <si>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</si>
  <si>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</si>
  <si>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</si>
  <si>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</si>
  <si>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</si>
  <si>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</si>
  <si>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</si>
  <si>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</si>
  <si>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</si>
  <si>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</si>
  <si>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</si>
  <si>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</si>
  <si>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</si>
  <si>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</si>
  <si>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</si>
  <si>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</si>
  <si>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</si>
  <si>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</si>
  <si>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</si>
  <si>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</si>
  <si>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</si>
  <si>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</si>
  <si>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</si>
  <si>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</si>
  <si>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</si>
  <si>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</si>
  <si>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</si>
  <si>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</si>
  <si>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</si>
  <si>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</si>
  <si>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</si>
  <si>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</si>
  <si>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</si>
  <si>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</si>
  <si>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</si>
  <si>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</si>
  <si>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</si>
  <si>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</si>
  <si>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</si>
  <si>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</si>
  <si>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</si>
  <si>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</si>
  <si>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</si>
  <si>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</si>
  <si>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</si>
  <si>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</si>
  <si>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</si>
  <si>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</si>
  <si>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</si>
  <si>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</si>
  <si>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</si>
  <si>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</si>
  <si>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</si>
  <si>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</si>
  <si>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</si>
  <si>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</si>
  <si>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</si>
  <si>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</si>
  <si>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</si>
  <si>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</si>
  <si>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</si>
  <si>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</si>
  <si>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</si>
  <si>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</si>
  <si>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</si>
  <si>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</si>
  <si>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</si>
  <si>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</si>
  <si>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</si>
  <si>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</si>
  <si>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</si>
  <si>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</si>
  <si>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</si>
  <si>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</si>
  <si>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</si>
  <si>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</si>
  <si>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</si>
  <si>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</si>
  <si>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</si>
  <si>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</si>
  <si>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</si>
  <si>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</si>
  <si>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</si>
  <si>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</si>
  <si>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</si>
  <si>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</si>
  <si>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</si>
  <si>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</si>
  <si>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</si>
  <si>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</si>
  <si>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</si>
  <si>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</si>
  <si>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</si>
  <si>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</si>
  <si>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</si>
  <si>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</si>
  <si>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</si>
  <si>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</si>
  <si>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</si>
  <si>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</si>
  <si>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</si>
  <si>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</si>
  <si>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</si>
  <si>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</si>
  <si>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</si>
  <si>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</si>
  <si>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</si>
  <si>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</si>
  <si>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</si>
  <si>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</si>
  <si>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</si>
  <si>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</si>
  <si>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</si>
  <si>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</si>
  <si>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</si>
  <si>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</si>
  <si>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</si>
  <si>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</si>
  <si>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</si>
  <si>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</si>
  <si>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</si>
  <si>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</si>
  <si>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</si>
  <si>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</si>
  <si>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</si>
  <si>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</si>
  <si>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</si>
  <si>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</si>
  <si>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</si>
  <si>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</si>
  <si>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</si>
  <si>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</si>
  <si>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</si>
  <si>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</si>
  <si>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</si>
  <si>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</si>
  <si>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</si>
  <si>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</si>
  <si>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</si>
  <si>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</si>
  <si>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</si>
  <si>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</si>
  <si>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</si>
  <si>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</si>
  <si>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</si>
  <si>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</si>
  <si>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</si>
  <si>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</si>
  <si>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</si>
  <si>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</si>
  <si>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</si>
  <si>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</si>
  <si>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</si>
  <si>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</si>
  <si>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</si>
  <si>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</si>
  <si>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</si>
  <si>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</si>
  <si>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</si>
  <si>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</si>
  <si>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</si>
  <si>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</si>
  <si>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</si>
  <si>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</si>
  <si>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</si>
  <si>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</si>
  <si>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</si>
  <si>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</si>
  <si>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</si>
  <si>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</si>
  <si>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</si>
  <si>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</si>
  <si>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</si>
  <si>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</si>
  <si>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</si>
  <si>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</si>
  <si>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</si>
  <si>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</si>
  <si>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</si>
  <si>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</si>
  <si>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</si>
  <si>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</si>
  <si>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</si>
  <si>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</si>
  <si>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</si>
  <si>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</si>
  <si>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</si>
  <si>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</si>
  <si>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</si>
  <si>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</si>
  <si>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</si>
  <si>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</si>
  <si>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</si>
  <si>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</si>
  <si>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</si>
  <si>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</si>
  <si>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</si>
  <si>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</si>
  <si>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</si>
  <si>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</si>
  <si>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</si>
  <si>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</si>
  <si>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</si>
  <si>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</si>
  <si>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</si>
  <si>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</si>
  <si>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</si>
  <si>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</si>
  <si>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</si>
  <si>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</si>
  <si>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</si>
  <si>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</si>
  <si>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</si>
  <si>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</si>
  <si>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</si>
  <si>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</si>
  <si>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</si>
  <si>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</si>
  <si>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</si>
  <si>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</si>
  <si>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</si>
  <si>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</si>
  <si>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</si>
  <si>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</si>
  <si>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</si>
  <si>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</si>
  <si>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</si>
  <si>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</si>
  <si>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</si>
  <si>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</si>
  <si>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</si>
  <si>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</si>
  <si>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</si>
  <si>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</si>
  <si>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</si>
  <si>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</si>
  <si>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</si>
  <si>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</si>
  <si>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</si>
  <si>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</si>
  <si>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</si>
  <si>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</si>
  <si>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</si>
  <si>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</si>
  <si>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</si>
  <si>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</si>
  <si>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</si>
  <si>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</si>
  <si>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</si>
  <si>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</si>
  <si>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</si>
  <si>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</si>
  <si>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</si>
  <si>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</si>
  <si>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</si>
  <si>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</si>
  <si>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</si>
  <si>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</si>
  <si>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</si>
  <si>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</si>
  <si>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</si>
  <si>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</si>
  <si>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</si>
  <si>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</si>
  <si>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</si>
  <si>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</si>
  <si>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</si>
  <si>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</si>
  <si>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</si>
  <si>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</si>
  <si>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</si>
  <si>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</si>
  <si>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</si>
  <si>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</si>
  <si>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</si>
  <si>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</si>
  <si>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</si>
  <si>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</si>
  <si>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</si>
  <si>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</si>
  <si>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</si>
  <si>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</si>
  <si>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</si>
  <si>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</si>
  <si>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</si>
  <si>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</si>
  <si>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</si>
  <si>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</si>
  <si>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</si>
  <si>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</si>
  <si>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</si>
  <si>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</si>
  <si>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</si>
  <si>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</si>
  <si>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</si>
  <si>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</si>
  <si>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</si>
  <si>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</si>
  <si>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</si>
  <si>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</si>
  <si>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</si>
  <si>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</si>
  <si>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</si>
  <si>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</si>
  <si>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</si>
  <si>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</si>
  <si>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</si>
  <si>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</si>
  <si>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</si>
  <si>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</si>
  <si>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</si>
  <si>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</si>
  <si>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</si>
  <si>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</si>
  <si>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</si>
  <si>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</si>
  <si>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</si>
  <si>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</si>
  <si>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</si>
  <si>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</si>
  <si>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</si>
  <si>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</si>
  <si>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</si>
  <si>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</si>
  <si>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</si>
  <si>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</si>
  <si>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</si>
  <si>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</si>
  <si>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</si>
  <si>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</si>
  <si>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</si>
  <si>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</si>
  <si>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</si>
  <si>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</si>
  <si>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</si>
  <si>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</si>
  <si>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</si>
  <si>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</si>
  <si>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</si>
  <si>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</si>
  <si>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</si>
  <si>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</si>
  <si>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</si>
  <si>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</si>
  <si>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</si>
  <si>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</si>
  <si>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</si>
  <si>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</si>
  <si>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</si>
  <si>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</si>
  <si>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</si>
  <si>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</si>
  <si>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</si>
  <si>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</si>
  <si>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</si>
  <si>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</si>
  <si>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</si>
  <si>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</si>
  <si>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</si>
  <si>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</si>
  <si>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</si>
  <si>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</si>
  <si>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</si>
  <si>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</si>
  <si>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</si>
  <si>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</si>
  <si>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</si>
  <si>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</si>
  <si>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</si>
  <si>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</si>
  <si>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</si>
  <si>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</si>
  <si>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</si>
  <si>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</si>
  <si>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</si>
  <si>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</si>
  <si>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</si>
  <si>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</si>
  <si>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</si>
  <si>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</si>
  <si>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</si>
  <si>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</si>
  <si>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</si>
  <si>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</si>
  <si>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</si>
  <si>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</si>
  <si>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</si>
  <si>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</si>
  <si>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</si>
  <si>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</si>
  <si>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</si>
  <si>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</si>
  <si>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</si>
  <si>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</si>
  <si>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</si>
  <si>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</si>
  <si>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</si>
  <si>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</si>
  <si>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</si>
  <si>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</si>
  <si>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</si>
  <si>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</si>
  <si>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</si>
  <si>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</si>
  <si>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</si>
  <si>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</si>
  <si>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</si>
  <si>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</si>
  <si>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</si>
  <si>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</si>
  <si>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</si>
  <si>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</si>
  <si>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</si>
  <si>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</si>
  <si>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</si>
  <si>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</si>
  <si>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</si>
  <si>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</si>
  <si>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</si>
  <si>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</si>
  <si>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</si>
  <si>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</si>
  <si>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</si>
  <si>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</si>
  <si>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</si>
  <si>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</si>
  <si>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</si>
  <si>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</si>
  <si>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</si>
  <si>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</si>
  <si>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</si>
  <si>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</si>
  <si>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</si>
  <si>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</si>
  <si>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</si>
  <si>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</si>
  <si>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</si>
  <si>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</si>
  <si>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</si>
  <si>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</si>
  <si>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</si>
  <si>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</si>
  <si>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</si>
  <si>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</si>
  <si>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</si>
  <si>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</si>
  <si>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</si>
  <si>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</si>
  <si>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</si>
  <si>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</si>
  <si>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</si>
  <si>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</si>
  <si>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</si>
  <si>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</si>
  <si>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</si>
  <si>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</si>
  <si>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</si>
  <si>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</si>
  <si>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</si>
  <si>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</si>
  <si>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</si>
  <si>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</si>
  <si>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</si>
  <si>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</si>
  <si>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</si>
  <si>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</si>
  <si>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</si>
  <si>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</si>
  <si>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</si>
  <si>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</si>
  <si>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</si>
  <si>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</si>
  <si>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</si>
  <si>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</si>
  <si>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</si>
  <si>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</si>
  <si>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</si>
  <si>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</si>
  <si>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</si>
  <si>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</si>
  <si>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</si>
  <si>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</si>
  <si>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</si>
  <si>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</si>
  <si>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</si>
  <si>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</si>
  <si>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</si>
  <si>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</si>
  <si>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</si>
  <si>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</si>
  <si>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</si>
  <si>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</si>
  <si>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</si>
  <si>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</si>
  <si>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</si>
  <si>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</si>
  <si>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</si>
  <si>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</si>
  <si>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</si>
  <si>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</si>
  <si>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</si>
  <si>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</si>
  <si>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</si>
  <si>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</si>
  <si>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</si>
  <si>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</si>
  <si>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</si>
  <si>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</si>
  <si>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</si>
  <si>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</si>
  <si>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</si>
  <si>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</si>
  <si>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</si>
  <si>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</si>
  <si>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</si>
  <si>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</si>
  <si>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</si>
  <si>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</si>
  <si>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</si>
  <si>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</si>
  <si>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</si>
  <si>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</si>
  <si>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</si>
  <si>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</si>
  <si>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</si>
  <si>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</si>
  <si>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</si>
  <si>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</si>
  <si>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</si>
  <si>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</si>
  <si>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</si>
  <si>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</si>
  <si>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</si>
  <si>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</si>
  <si>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</si>
  <si>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</si>
  <si>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</si>
  <si>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</si>
  <si>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</si>
  <si>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</si>
  <si>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</si>
  <si>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</si>
  <si>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</si>
  <si>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</si>
  <si>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</si>
  <si>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</si>
  <si>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</si>
  <si>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</si>
  <si>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</si>
  <si>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</si>
  <si>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</si>
  <si>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</si>
  <si>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</si>
  <si>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</si>
  <si>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</si>
  <si>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</si>
  <si>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</si>
  <si>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</si>
  <si>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</si>
  <si>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</si>
  <si>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</si>
  <si>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</si>
  <si>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</si>
  <si>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</si>
  <si>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</si>
  <si>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</si>
  <si>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</si>
  <si>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</si>
  <si>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</si>
  <si>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</si>
  <si>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</si>
  <si>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</si>
  <si>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</si>
  <si>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</si>
  <si>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</si>
  <si>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</si>
  <si>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</si>
  <si>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</si>
  <si>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</si>
  <si>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</si>
  <si>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</si>
  <si>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</si>
  <si>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</si>
  <si>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</si>
  <si>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</si>
  <si>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</si>
  <si>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</si>
  <si>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</si>
  <si>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</si>
  <si>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</si>
  <si>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</si>
  <si>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</si>
  <si>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</si>
  <si>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</si>
  <si>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</si>
  <si>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</si>
  <si>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</si>
  <si>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</si>
  <si>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</si>
  <si>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</si>
  <si>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</si>
  <si>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</si>
  <si>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</si>
  <si>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</si>
  <si>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</si>
  <si>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</si>
  <si>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</si>
  <si>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</si>
  <si>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</si>
  <si>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</si>
  <si>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</si>
  <si>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</si>
  <si>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</si>
  <si>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</si>
  <si>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</si>
  <si>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</si>
  <si>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</si>
  <si>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</si>
  <si>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</si>
  <si>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</si>
  <si>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</si>
  <si>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</si>
  <si>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</si>
  <si>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</si>
  <si>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</si>
  <si>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</si>
  <si>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</si>
  <si>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</si>
  <si>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</si>
  <si>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</si>
  <si>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</si>
  <si>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</si>
  <si>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</si>
  <si>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</si>
  <si>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</si>
  <si>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</si>
  <si>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</si>
  <si>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</si>
  <si>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</si>
  <si>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</si>
  <si>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</si>
  <si>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</si>
  <si>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</si>
  <si>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</si>
  <si>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</si>
  <si>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</si>
  <si>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</si>
  <si>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</si>
  <si>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</si>
  <si>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</si>
  <si>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</si>
  <si>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</si>
  <si>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</si>
  <si>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</si>
  <si>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</si>
  <si>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</si>
  <si>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</si>
  <si>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</si>
  <si>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</si>
  <si>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</si>
  <si>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</si>
  <si>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</si>
  <si>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</si>
  <si>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</si>
  <si>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</si>
  <si>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</si>
  <si>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</si>
  <si>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</si>
  <si>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</si>
  <si>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</si>
  <si>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</si>
  <si>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</si>
  <si>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</si>
  <si>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</si>
  <si>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</si>
  <si>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</si>
  <si>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</si>
  <si>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</si>
  <si>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</si>
  <si>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</si>
  <si>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</si>
  <si>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</si>
  <si>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</si>
  <si>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</si>
  <si>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</si>
  <si>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</si>
  <si>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</si>
  <si>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</si>
  <si>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</si>
  <si>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</si>
  <si>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</si>
  <si>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</si>
  <si>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</si>
  <si>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</si>
  <si>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</si>
  <si>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</si>
  <si>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</si>
  <si>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</si>
  <si>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</si>
  <si>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</si>
  <si>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</si>
  <si>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</si>
  <si>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</si>
  <si>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</si>
  <si>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</si>
  <si>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</si>
  <si>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</si>
  <si>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</si>
  <si>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</si>
  <si>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</si>
  <si>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</si>
  <si>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</si>
  <si>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</si>
  <si>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</si>
  <si>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</si>
  <si>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</si>
  <si>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</si>
  <si>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</si>
  <si>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</si>
  <si>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</si>
  <si>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</si>
  <si>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</si>
  <si>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</si>
  <si>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</si>
  <si>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</si>
  <si>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</si>
  <si>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</si>
  <si>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</si>
  <si>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</si>
  <si>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</si>
  <si>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</si>
  <si>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</si>
  <si>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</si>
  <si>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</si>
  <si>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</si>
  <si>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</si>
  <si>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</si>
  <si>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</si>
  <si>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</si>
  <si>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</si>
  <si>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</si>
  <si>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</si>
  <si>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</si>
  <si>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</si>
  <si>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</si>
  <si>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</si>
  <si>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</si>
  <si>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</si>
  <si>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</si>
  <si>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</si>
  <si>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</si>
  <si>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</si>
  <si>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</si>
  <si>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</si>
  <si>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</si>
  <si>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</si>
  <si>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</si>
  <si>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</si>
  <si>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</si>
  <si>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</si>
  <si>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</si>
  <si>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</si>
  <si>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</si>
  <si>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</si>
  <si>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</si>
  <si>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</si>
  <si>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</si>
  <si>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</si>
  <si>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</si>
  <si>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</si>
  <si>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</si>
  <si>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</si>
  <si>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</si>
  <si>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</si>
  <si>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</si>
  <si>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</si>
  <si>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</si>
  <si>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</si>
  <si>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</si>
  <si>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</si>
  <si>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</si>
  <si>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</si>
  <si>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</si>
  <si>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</si>
  <si>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</si>
  <si>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</si>
  <si>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</si>
  <si>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</si>
  <si>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</si>
  <si>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</si>
  <si>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</si>
  <si>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</si>
  <si>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</si>
  <si>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</si>
  <si>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</si>
  <si>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</si>
  <si>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</si>
  <si>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</si>
  <si>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</si>
  <si>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</si>
  <si>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</si>
  <si>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</si>
  <si>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</si>
  <si>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</si>
  <si>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</si>
  <si>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</si>
  <si>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</si>
  <si>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</si>
  <si>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</si>
  <si>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</si>
  <si>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</si>
  <si>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</si>
  <si>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</si>
  <si>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</si>
  <si>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</si>
  <si>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</si>
  <si>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</si>
  <si>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</si>
  <si>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</si>
  <si>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</si>
  <si>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</si>
  <si>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</si>
  <si>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</si>
  <si>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</si>
  <si>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</si>
  <si>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</si>
  <si>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</si>
  <si>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</si>
  <si>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</si>
  <si>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</si>
  <si>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</si>
  <si>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</si>
  <si>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</si>
  <si>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</si>
  <si>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</si>
  <si>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</si>
  <si>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</si>
  <si>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</si>
  <si>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</si>
  <si>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</si>
  <si>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</si>
  <si>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</si>
  <si>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</si>
  <si>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</si>
  <si>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</si>
  <si>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</si>
  <si>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</si>
  <si>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</si>
  <si>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</si>
  <si>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</si>
  <si>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</si>
  <si>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</si>
  <si>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</si>
  <si>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</si>
  <si>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</si>
  <si>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</si>
  <si>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</si>
  <si>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</si>
  <si>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</si>
  <si>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</si>
  <si>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</si>
  <si>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</si>
  <si>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</si>
  <si>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</si>
  <si>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</si>
  <si>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</si>
  <si>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</si>
  <si>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</si>
  <si>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</si>
  <si>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</si>
  <si>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</si>
  <si>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</si>
  <si>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</si>
  <si>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</si>
  <si>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</si>
  <si>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</si>
  <si>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</si>
  <si>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</si>
  <si>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</si>
  <si>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</si>
  <si>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</si>
  <si>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</si>
  <si>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</si>
  <si>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</si>
  <si>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</si>
  <si>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</si>
  <si>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</si>
  <si>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</si>
  <si>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</si>
  <si>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</si>
  <si>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</si>
  <si>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</si>
  <si>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</si>
  <si>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</si>
  <si>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</si>
  <si>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</si>
  <si>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</si>
  <si>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</si>
  <si>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</si>
  <si>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</si>
  <si>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</si>
  <si>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</si>
  <si>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</si>
  <si>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</si>
  <si>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</si>
  <si>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</si>
  <si>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</si>
  <si>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</si>
  <si>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</si>
  <si>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</si>
  <si>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</si>
  <si>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</si>
  <si>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</si>
  <si>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</si>
  <si>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</si>
  <si>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</si>
  <si>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</si>
  <si>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</si>
  <si>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</si>
  <si>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</si>
  <si>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</si>
  <si>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</si>
  <si>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</si>
  <si>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</si>
  <si>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</si>
  <si>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</si>
  <si>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</si>
  <si>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</si>
  <si>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</si>
  <si>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</si>
  <si>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</si>
  <si>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</si>
  <si>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</si>
  <si>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</si>
  <si>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</si>
  <si>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</si>
  <si>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</si>
  <si>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</si>
  <si>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</si>
  <si>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</si>
  <si>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</si>
  <si>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</si>
  <si>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</si>
  <si>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</si>
  <si>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</si>
  <si>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</si>
  <si>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</si>
  <si>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</si>
  <si>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</si>
  <si>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</si>
  <si>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</si>
  <si>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</si>
  <si>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</si>
  <si>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</si>
  <si>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</si>
  <si>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</si>
  <si>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</si>
  <si>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</si>
  <si>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</si>
  <si>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</si>
  <si>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</si>
  <si>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</si>
  <si>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</si>
  <si>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</si>
  <si>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</si>
  <si>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</si>
  <si>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</si>
  <si>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</si>
  <si>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</si>
  <si>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</si>
  <si>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</si>
  <si>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</si>
  <si>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</si>
  <si>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</si>
  <si>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</si>
  <si>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</si>
  <si>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</si>
  <si>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</si>
  <si>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</si>
  <si>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</si>
  <si>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</si>
  <si>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</si>
  <si>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</si>
  <si>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</si>
  <si>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</si>
  <si>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</si>
  <si>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</si>
  <si>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</si>
  <si>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</si>
  <si>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</si>
  <si>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</si>
  <si>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</si>
  <si>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</si>
  <si>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</si>
  <si>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</si>
  <si>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</si>
  <si>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</si>
  <si>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</si>
  <si>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</si>
  <si>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</si>
  <si>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</si>
  <si>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</si>
  <si>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</si>
  <si>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</si>
  <si>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</si>
  <si>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</si>
  <si>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</si>
  <si>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</si>
  <si>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</si>
  <si>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</si>
  <si>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</si>
  <si>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</si>
  <si>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</si>
  <si>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</si>
  <si>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</si>
  <si>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</si>
  <si>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</si>
  <si>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</si>
  <si>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</si>
  <si>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</si>
  <si>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</si>
  <si>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</si>
  <si>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</si>
  <si>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</si>
  <si>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</si>
  <si>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</si>
  <si>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</si>
  <si>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</si>
  <si>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</si>
  <si>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</si>
  <si>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</si>
  <si>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</si>
  <si>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</si>
  <si>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</si>
  <si>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</si>
  <si>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</si>
  <si>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</si>
  <si>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</si>
  <si>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</si>
  <si>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</si>
  <si>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</si>
  <si>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</si>
  <si>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</si>
  <si>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</si>
  <si>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</si>
  <si>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</si>
  <si>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</si>
  <si>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</si>
  <si>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</si>
  <si>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</si>
  <si>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</si>
  <si>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</si>
  <si>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</si>
  <si>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</si>
  <si>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</si>
  <si>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</si>
  <si>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</si>
  <si>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</si>
  <si>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</si>
  <si>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</si>
  <si>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</si>
  <si>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</si>
  <si>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</si>
  <si>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</si>
  <si>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</si>
  <si>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</si>
  <si>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</si>
  <si>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</si>
  <si>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</si>
  <si>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</si>
  <si>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</si>
  <si>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</si>
  <si>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</si>
  <si>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</si>
  <si>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</si>
  <si>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</si>
  <si>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</si>
  <si>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</si>
  <si>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</si>
  <si>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</si>
  <si>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</si>
  <si>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</si>
  <si>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</si>
  <si>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</si>
  <si>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</si>
  <si>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</si>
  <si>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</si>
  <si>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</si>
  <si>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</si>
  <si>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</si>
  <si>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</si>
  <si>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</si>
  <si>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</si>
  <si>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</si>
  <si>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</si>
  <si>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</si>
  <si>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</si>
  <si>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</si>
  <si>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</si>
  <si>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</si>
  <si>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</si>
  <si>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</si>
  <si>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</si>
  <si>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</si>
  <si>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</si>
  <si>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</si>
  <si>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</si>
  <si>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</si>
  <si>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</si>
  <si>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</si>
  <si>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</si>
  <si>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</si>
  <si>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</si>
  <si>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</si>
  <si>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</si>
  <si>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</si>
  <si>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</si>
  <si>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</si>
  <si>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</si>
  <si>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</si>
  <si>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</si>
  <si>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</si>
  <si>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</si>
  <si>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</si>
  <si>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</si>
  <si>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</si>
  <si>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</si>
  <si>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</si>
  <si>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</si>
  <si>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</si>
  <si>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</si>
  <si>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</si>
  <si>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</si>
  <si>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</si>
  <si>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</si>
  <si>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</si>
  <si>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</si>
  <si>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</si>
  <si>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</si>
  <si>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</si>
  <si>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</si>
  <si>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</si>
  <si>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</si>
  <si>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</si>
  <si>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</si>
  <si>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</si>
  <si>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</si>
  <si>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</si>
  <si>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</si>
  <si>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</si>
  <si>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</si>
  <si>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</si>
  <si>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</si>
  <si>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</si>
  <si>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</si>
  <si>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</si>
  <si>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</si>
  <si>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</si>
  <si>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</si>
  <si>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</si>
  <si>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</si>
  <si>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</si>
  <si>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</si>
  <si>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</si>
  <si>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</si>
  <si>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</si>
  <si>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</si>
  <si>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</si>
  <si>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</si>
  <si>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</si>
  <si>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</si>
  <si>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</si>
  <si>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</si>
  <si>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</si>
  <si>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</si>
  <si>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</si>
  <si>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</si>
  <si>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</si>
  <si>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</si>
  <si>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</si>
  <si>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</si>
  <si>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</si>
  <si>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</si>
  <si>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</si>
  <si>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</si>
  <si>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</si>
  <si>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</si>
  <si>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</si>
  <si>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</si>
  <si>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</si>
  <si>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</si>
  <si>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</si>
  <si>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</si>
  <si>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</si>
  <si>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</si>
  <si>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</si>
  <si>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</si>
  <si>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</si>
  <si>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</si>
  <si>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</si>
  <si>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</si>
  <si>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</si>
  <si>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</si>
  <si>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</si>
  <si>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</si>
  <si>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</si>
  <si>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</si>
  <si>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</si>
  <si>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</si>
  <si>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</si>
  <si>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</si>
  <si>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</si>
  <si>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</si>
  <si>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</si>
  <si>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</si>
  <si>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</si>
  <si>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</si>
  <si>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</si>
  <si>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</si>
  <si>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</si>
  <si>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</si>
  <si>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</si>
  <si>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</si>
  <si>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</si>
  <si>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</si>
  <si>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</si>
  <si>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</si>
  <si>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</si>
  <si>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</si>
  <si>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</si>
  <si>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</si>
  <si>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</si>
  <si>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</si>
  <si>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</si>
  <si>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</si>
  <si>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</si>
  <si>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</si>
  <si>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</si>
  <si>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</si>
  <si>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</si>
  <si>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</si>
  <si>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</si>
  <si>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</si>
  <si>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</si>
  <si>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</si>
  <si>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</si>
  <si>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</si>
  <si>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</si>
  <si>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</si>
  <si>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</si>
  <si>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</si>
  <si>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</si>
  <si>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</si>
  <si>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</si>
  <si>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</si>
  <si>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</si>
  <si>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</si>
  <si>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</si>
  <si>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</si>
  <si>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</si>
  <si>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</si>
  <si>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</si>
  <si>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</si>
  <si>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</si>
  <si>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</si>
  <si>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</si>
  <si>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</si>
  <si>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</si>
  <si>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</si>
  <si>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</si>
  <si>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</si>
  <si>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</si>
  <si>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</si>
  <si>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</si>
  <si>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</si>
  <si>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</si>
  <si>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</si>
  <si>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</si>
  <si>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</si>
  <si>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</si>
  <si>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</si>
  <si>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</si>
  <si>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</si>
  <si>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</si>
  <si>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</si>
  <si>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</si>
  <si>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</si>
  <si>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</si>
  <si>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</si>
  <si>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</si>
  <si>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</si>
  <si>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</si>
  <si>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</si>
  <si>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</si>
  <si>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</si>
  <si>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</si>
  <si>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</si>
  <si>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</si>
  <si>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</si>
  <si>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</si>
  <si>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</si>
  <si>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</si>
  <si>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</si>
  <si>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</si>
  <si>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</si>
  <si>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</si>
  <si>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</si>
  <si>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</si>
  <si>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</si>
  <si>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</si>
  <si>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</si>
  <si>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</si>
  <si>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</si>
  <si>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</si>
  <si>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</si>
  <si>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</si>
  <si>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</si>
  <si>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</si>
  <si>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</si>
  <si>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</si>
  <si>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</si>
  <si>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</si>
  <si>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</si>
  <si>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</si>
  <si>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</si>
  <si>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</si>
  <si>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</si>
  <si>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</si>
  <si>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</si>
  <si>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</si>
  <si>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</si>
  <si>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</si>
  <si>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</si>
  <si>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</si>
  <si>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</si>
  <si>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</si>
  <si>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</si>
  <si>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</si>
  <si>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</si>
  <si>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</si>
  <si>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</si>
  <si>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</si>
  <si>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</si>
  <si>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</si>
  <si>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</si>
  <si>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</si>
  <si>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</si>
  <si>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</si>
  <si>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</si>
  <si>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</si>
  <si>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</si>
  <si>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</si>
  <si>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</si>
  <si>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</si>
  <si>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</si>
  <si>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</si>
  <si>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</si>
  <si>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</si>
  <si>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</si>
  <si>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</si>
  <si>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</si>
  <si>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</si>
  <si>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</si>
  <si>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</si>
  <si>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</si>
  <si>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</si>
  <si>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</si>
  <si>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</si>
  <si>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</si>
  <si>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</si>
  <si>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</si>
  <si>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</si>
  <si>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</si>
  <si>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</si>
  <si>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</si>
  <si>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</si>
  <si>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</si>
  <si>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</si>
  <si>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</si>
  <si>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</si>
  <si>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</si>
  <si>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</si>
  <si>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</si>
  <si>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</si>
  <si>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</si>
  <si>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</si>
  <si>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</si>
  <si>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</si>
  <si>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</si>
  <si>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</si>
  <si>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</si>
  <si>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</si>
  <si>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</si>
  <si>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</si>
  <si>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</si>
  <si>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</si>
  <si>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</si>
  <si>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</si>
  <si>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</si>
  <si>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</si>
  <si>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</si>
  <si>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</si>
  <si>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</si>
  <si>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</si>
  <si>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</si>
  <si>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</si>
  <si>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</si>
  <si>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</si>
  <si>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</si>
  <si>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</si>
  <si>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</si>
  <si>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</si>
  <si>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</si>
  <si>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</si>
  <si>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</si>
  <si>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</si>
  <si>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</si>
  <si>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</si>
  <si>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</si>
  <si>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</si>
  <si>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</si>
  <si>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</si>
  <si>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</si>
  <si>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</si>
  <si>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</si>
  <si>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</si>
  <si>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</si>
  <si>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</si>
  <si>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</si>
  <si>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</si>
  <si>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</si>
  <si>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</si>
  <si>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</si>
  <si>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</si>
  <si>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</si>
  <si>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</si>
  <si>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</si>
  <si>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</si>
  <si>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</si>
  <si>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</si>
  <si>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</si>
  <si>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</si>
  <si>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</si>
  <si>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</si>
  <si>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</si>
  <si>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</si>
  <si>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</si>
  <si>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</si>
  <si>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</si>
  <si>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</si>
  <si>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</si>
  <si>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</si>
  <si>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</si>
  <si>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</si>
  <si>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</si>
  <si>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</si>
  <si>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</si>
  <si>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</si>
  <si>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</si>
  <si>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</si>
  <si>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</si>
  <si>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</si>
  <si>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</si>
  <si>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</si>
  <si>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</si>
  <si>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</si>
  <si>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</si>
  <si>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</si>
  <si>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</si>
  <si>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</si>
  <si>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</si>
  <si>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</si>
  <si>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</si>
  <si>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</si>
  <si>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</si>
  <si>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</si>
  <si>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</si>
  <si>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</si>
  <si>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</si>
  <si>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</si>
  <si>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</si>
  <si>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</si>
  <si>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</si>
  <si>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</si>
  <si>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</si>
  <si>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</si>
  <si>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</si>
  <si>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</si>
  <si>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</si>
  <si>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</si>
  <si>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</si>
  <si>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</si>
  <si>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</si>
  <si>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</si>
  <si>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</si>
  <si>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</si>
  <si>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</si>
  <si>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</si>
  <si>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</si>
  <si>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</si>
  <si>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</si>
  <si>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</si>
  <si>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</si>
  <si>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</si>
  <si>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</si>
  <si>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</si>
  <si>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</si>
  <si>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</si>
  <si>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</si>
  <si>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</si>
  <si>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</si>
  <si>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</si>
  <si>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</si>
  <si>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</si>
  <si>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</si>
  <si>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</si>
  <si>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</si>
  <si>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</si>
  <si>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</si>
  <si>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</si>
  <si>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</si>
  <si>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</si>
  <si>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</si>
  <si>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</si>
  <si>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</si>
  <si>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</si>
  <si>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</si>
  <si>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</si>
  <si>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</si>
  <si>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</si>
  <si>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</si>
  <si>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</si>
  <si>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</si>
  <si>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</si>
  <si>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</si>
  <si>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</si>
  <si>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</si>
  <si>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</si>
  <si>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</si>
  <si>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</si>
  <si>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</si>
  <si>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</si>
  <si>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</si>
  <si>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</si>
  <si>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</si>
  <si>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</si>
  <si>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</si>
  <si>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</si>
  <si>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</si>
  <si>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</si>
  <si>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</si>
  <si>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</si>
  <si>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</si>
  <si>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</si>
  <si>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</si>
  <si>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</si>
  <si>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</si>
  <si>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</si>
  <si>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</si>
  <si>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</si>
  <si>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</si>
  <si>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</si>
  <si>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</si>
  <si>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</si>
  <si>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</si>
  <si>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</si>
  <si>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</si>
  <si>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</si>
  <si>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</si>
  <si>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</si>
  <si>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</si>
  <si>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</si>
  <si>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</si>
  <si>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</si>
  <si>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</si>
  <si>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</si>
  <si>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</si>
  <si>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</si>
  <si>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</si>
  <si>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</si>
  <si>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</si>
  <si>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</si>
  <si>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</si>
  <si>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</si>
  <si>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</si>
  <si>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</si>
  <si>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</si>
  <si>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</si>
  <si>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</si>
  <si>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</si>
  <si>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</si>
  <si>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</si>
  <si>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</si>
  <si>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</si>
  <si>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</si>
  <si>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</si>
  <si>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</si>
  <si>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</si>
  <si>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</si>
  <si>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</si>
  <si>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</si>
  <si>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</si>
  <si>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</si>
  <si>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</si>
  <si>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</si>
  <si>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</si>
  <si>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</si>
  <si>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</si>
  <si>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</si>
  <si>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</si>
  <si>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</si>
  <si>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</si>
  <si>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</si>
  <si>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</si>
  <si>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</si>
  <si>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</si>
  <si>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</si>
  <si>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</si>
  <si>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</si>
  <si>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</si>
  <si>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</si>
  <si>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</si>
  <si>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</si>
  <si>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</si>
  <si>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</si>
  <si>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</si>
  <si>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</si>
  <si>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</si>
  <si>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</si>
  <si>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</si>
  <si>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</si>
  <si>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</si>
  <si>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</si>
  <si>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</si>
  <si>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</si>
  <si>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1982 SVEUČILIŠTE U ZAGREBU - AKADEMIJA LIKOVNIH UMJETNOSTI</t>
  </si>
  <si>
    <t>MIRJANA ŽIGMAN</t>
  </si>
  <si>
    <t>mzigman@alu.hr</t>
  </si>
  <si>
    <t>ZAGREB, 12.STUDENOG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</si>
</sst>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0\ &quot;kn&quot;;[Red]\-#,##0.00\ &quot;kn&quot;"/>
    <numFmt numFmtId="165" formatCode="_-* #,##0.00_-;\-* #,##0.00_-;_-* &quot;-&quot;??_-;_-@_-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9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9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9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9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8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9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9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70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70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70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70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1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9" workbookViewId="0">
      <selection activeCell="C4" sqref="C4:E4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1668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1666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>
        <v>13711301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1667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34123967</v>
      </c>
      <c r="D14" s="173">
        <f>+D15+D16</f>
        <v>34599697</v>
      </c>
      <c r="E14" s="173">
        <f>+E15+E16</f>
        <v>33611453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34123967</v>
      </c>
      <c r="D15" s="176">
        <f>'PLAN PRIHODA I PRIMITAKA '!C62</f>
        <v>34599697</v>
      </c>
      <c r="E15" s="176">
        <f>'PLAN PRIHODA I PRIMITAKA '!C98</f>
        <v>33611453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34123967</v>
      </c>
      <c r="D17" s="180">
        <f>+D18+D19</f>
        <v>34599697</v>
      </c>
      <c r="E17" s="180">
        <f>+E18+E19</f>
        <v>33611453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33201367</v>
      </c>
      <c r="D18" s="182">
        <f>'PLAN RASHODA I IZDATAKA'!C72</f>
        <v>34073264</v>
      </c>
      <c r="E18" s="182">
        <f>'PLAN RASHODA I IZDATAKA'!C92</f>
        <v>33080178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922600</v>
      </c>
      <c r="D19" s="182">
        <f>'PLAN RASHODA I IZDATAKA'!C80</f>
        <v>526433</v>
      </c>
      <c r="E19" s="182">
        <f>'PLAN RASHODA I IZDATAKA'!C100</f>
        <v>531275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0</v>
      </c>
      <c r="D23" s="181">
        <f>'PLAN PRIHODA I PRIMITAKA '!C41</f>
        <v>0</v>
      </c>
      <c r="E23" s="181">
        <f>'PLAN PRIHODA I PRIMITAKA '!C77</f>
        <v>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0</v>
      </c>
      <c r="D24" s="185">
        <f>'PLAN PRIHODA I PRIMITAKA '!C43</f>
        <v>0</v>
      </c>
      <c r="E24" s="186">
        <f>'PLAN PRIHODA I PRIMITAKA '!C79</f>
        <v>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topLeftCell="C1" zoomScaleNormal="10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30096792</v>
      </c>
      <c r="H3" s="198">
        <v>31533466</v>
      </c>
      <c r="I3" s="198">
        <v>31639786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6615</v>
      </c>
      <c r="F4" s="141" t="str">
        <f t="shared" ref="F4:F66" si="2">IFERROR(VLOOKUP(E4,$R$6:$U$73,2,FALSE),"")</f>
        <v>Prihodi od pruženih usluga</v>
      </c>
      <c r="G4" s="198">
        <v>370000</v>
      </c>
      <c r="H4" s="198">
        <v>378214</v>
      </c>
      <c r="I4" s="198">
        <v>381693</v>
      </c>
      <c r="K4" s="144" t="str">
        <f t="shared" ref="K4:K67" si="3">LEFT(E4,3)</f>
        <v>661</v>
      </c>
      <c r="L4" s="144" t="str">
        <f t="shared" ref="L4:L67" si="4">LEFT(E4,2)</f>
        <v>66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43</v>
      </c>
      <c r="D5" s="140" t="str">
        <f t="shared" si="1"/>
        <v>Ostali prihodi za posebne namjene</v>
      </c>
      <c r="E5" s="153">
        <v>65264</v>
      </c>
      <c r="F5" s="141" t="str">
        <f t="shared" si="2"/>
        <v>Sufinanciranje cijene usluge, participacije i slično</v>
      </c>
      <c r="G5" s="198">
        <v>810000</v>
      </c>
      <c r="H5" s="198">
        <v>827982</v>
      </c>
      <c r="I5" s="198">
        <v>835599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52</v>
      </c>
      <c r="D6" s="140" t="str">
        <f t="shared" si="1"/>
        <v>Ostale pomoći</v>
      </c>
      <c r="E6" s="153">
        <v>636</v>
      </c>
      <c r="F6" s="141" t="str">
        <f t="shared" si="2"/>
        <v>Pomoći proračunskim korisnicima iz proračuna koji im nije nadležan</v>
      </c>
      <c r="G6" s="198">
        <v>300000</v>
      </c>
      <c r="H6" s="198">
        <v>306660</v>
      </c>
      <c r="I6" s="198">
        <v>309481</v>
      </c>
      <c r="K6" s="144" t="str">
        <f t="shared" si="3"/>
        <v>636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61</v>
      </c>
      <c r="D7" s="140" t="str">
        <f t="shared" si="1"/>
        <v>Donacije</v>
      </c>
      <c r="E7" s="153">
        <v>663120000</v>
      </c>
      <c r="F7" s="141" t="str">
        <f t="shared" si="2"/>
        <v>Tekuće donacije od neprofitnih organizacija</v>
      </c>
      <c r="G7" s="198">
        <v>300000</v>
      </c>
      <c r="H7" s="198">
        <v>306660</v>
      </c>
      <c r="I7" s="198">
        <v>309481</v>
      </c>
      <c r="K7" s="144" t="str">
        <f t="shared" si="3"/>
        <v>663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12</v>
      </c>
      <c r="D8" s="140" t="str">
        <f t="shared" si="1"/>
        <v>Sredstva učešća za pomoći</v>
      </c>
      <c r="E8" s="153" t="s">
        <v>831</v>
      </c>
      <c r="F8" s="141" t="str">
        <f t="shared" si="2"/>
        <v>Prihodi iz nadležnog proračuna za financiranje redovne djelatnosti proračunskih korisnika</v>
      </c>
      <c r="G8" s="198">
        <v>293110</v>
      </c>
      <c r="H8" s="198">
        <v>162615</v>
      </c>
      <c r="I8" s="198">
        <v>117750</v>
      </c>
      <c r="K8" s="144" t="str">
        <f t="shared" si="3"/>
        <v>671</v>
      </c>
      <c r="L8" s="144" t="str">
        <f t="shared" si="4"/>
        <v>67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561</v>
      </c>
      <c r="D9" s="140" t="str">
        <f t="shared" si="1"/>
        <v>Europski socijalni fond (ESF)</v>
      </c>
      <c r="E9" s="153">
        <v>632310561</v>
      </c>
      <c r="F9" s="141" t="str">
        <f t="shared" si="2"/>
        <v>Tekuće pomoći od institucija i tijela EU - ESF</v>
      </c>
      <c r="G9" s="198">
        <v>1546465</v>
      </c>
      <c r="H9" s="198">
        <v>1084100</v>
      </c>
      <c r="I9" s="198">
        <v>17663</v>
      </c>
      <c r="K9" s="144" t="str">
        <f t="shared" si="3"/>
        <v>632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561</v>
      </c>
      <c r="D10" s="140" t="str">
        <f t="shared" si="1"/>
        <v>Europski socijalni fond (ESF)</v>
      </c>
      <c r="E10" s="153">
        <v>632410561</v>
      </c>
      <c r="F10" s="141" t="str">
        <f t="shared" si="2"/>
        <v>Kapitalne pomoći od institucija i tijela EU - ESF</v>
      </c>
      <c r="G10" s="198">
        <v>407600</v>
      </c>
      <c r="H10" s="198">
        <v>0</v>
      </c>
      <c r="I10" s="198">
        <v>0</v>
      </c>
      <c r="K10" s="144" t="str">
        <f t="shared" si="3"/>
        <v>632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24" activePane="bottomLeft" state="frozen"/>
      <selection pane="bottomLeft" activeCell="K3" sqref="K3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67</v>
      </c>
      <c r="H3" s="149" t="str">
        <f>IFERROR(VLOOKUP(G3,$X$6:$Y$50,2,FALSE),"")</f>
        <v>REDOVNA DJELATNOST SVEUČILIŠTA U ZAGREBU</v>
      </c>
      <c r="I3" s="198">
        <v>21609566</v>
      </c>
      <c r="J3" s="198">
        <v>21749176</v>
      </c>
      <c r="K3" s="198">
        <v>22800789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67</v>
      </c>
      <c r="H4" s="149" t="str">
        <f t="shared" ref="H4:H67" si="2">IFERROR(VLOOKUP(G4,$X$6:$Y$50,2,FALSE),"")</f>
        <v>REDOVNA DJELATNOST SVEUČILIŠTA U ZAGREBU</v>
      </c>
      <c r="I4" s="198">
        <v>800000</v>
      </c>
      <c r="J4" s="198">
        <v>817760</v>
      </c>
      <c r="K4" s="198">
        <v>825283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67</v>
      </c>
      <c r="H5" s="149" t="str">
        <f t="shared" si="2"/>
        <v>REDOVNA DJELATNOST SVEUČILIŠTA U ZAGREBU</v>
      </c>
      <c r="I5" s="198">
        <v>3565578</v>
      </c>
      <c r="J5" s="198">
        <v>4753613</v>
      </c>
      <c r="K5" s="198">
        <v>3762129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67</v>
      </c>
      <c r="H6" s="149" t="str">
        <f t="shared" si="2"/>
        <v>REDOVNA DJELATNOST SVEUČILIŠTA U ZAGREBU</v>
      </c>
      <c r="I6" s="198">
        <v>532355</v>
      </c>
      <c r="J6" s="198">
        <v>544173</v>
      </c>
      <c r="K6" s="198">
        <v>549179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67</v>
      </c>
      <c r="H7" s="149" t="str">
        <f t="shared" si="2"/>
        <v>REDOVNA DJELATNOST SVEUČILIŠTA U ZAGREBU</v>
      </c>
      <c r="I7" s="198">
        <v>24000</v>
      </c>
      <c r="J7" s="198">
        <v>24533</v>
      </c>
      <c r="K7" s="198">
        <v>24759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67</v>
      </c>
      <c r="H8" s="149" t="str">
        <f t="shared" si="2"/>
        <v>REDOVNA DJELATNOST SVEUČILIŠTA U ZAGREBU</v>
      </c>
      <c r="I8" s="198">
        <v>27000</v>
      </c>
      <c r="J8" s="198">
        <v>27599</v>
      </c>
      <c r="K8" s="198">
        <v>27853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3222</v>
      </c>
      <c r="F9" s="149" t="str">
        <f t="shared" si="0"/>
        <v>Materijal i sirovine</v>
      </c>
      <c r="G9" s="201" t="s">
        <v>67</v>
      </c>
      <c r="H9" s="149" t="str">
        <f t="shared" si="2"/>
        <v>REDOVNA DJELATNOST SVEUČILIŠTA U ZAGREBU</v>
      </c>
      <c r="I9" s="198">
        <v>2000</v>
      </c>
      <c r="J9" s="198">
        <v>2044</v>
      </c>
      <c r="K9" s="198">
        <v>2063</v>
      </c>
      <c r="M9" s="144" t="str">
        <f t="shared" si="3"/>
        <v>322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3211</v>
      </c>
      <c r="F10" s="149" t="str">
        <f t="shared" si="0"/>
        <v>Službena putovanja</v>
      </c>
      <c r="G10" s="201" t="s">
        <v>864</v>
      </c>
      <c r="H10" s="149" t="str">
        <f t="shared" si="2"/>
        <v>PROGRAMSKO FINANCIRANJE JAVNIH VISOKIH UČILIŠTA</v>
      </c>
      <c r="I10" s="198">
        <v>200000</v>
      </c>
      <c r="J10" s="198">
        <v>204440</v>
      </c>
      <c r="K10" s="198">
        <v>206321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3213</v>
      </c>
      <c r="F11" s="149" t="str">
        <f t="shared" si="0"/>
        <v>Stručno usavršavanje zaposlenika</v>
      </c>
      <c r="G11" s="201" t="s">
        <v>864</v>
      </c>
      <c r="H11" s="149" t="str">
        <f t="shared" si="2"/>
        <v>PROGRAMSKO FINANCIRANJE JAVNIH VISOKIH UČILIŠTA</v>
      </c>
      <c r="I11" s="198">
        <v>25000</v>
      </c>
      <c r="J11" s="198">
        <v>25555</v>
      </c>
      <c r="K11" s="198">
        <v>25790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3214</v>
      </c>
      <c r="F12" s="149" t="str">
        <f t="shared" si="0"/>
        <v>Ostale naknade troškova zaposlenima</v>
      </c>
      <c r="G12" s="201" t="s">
        <v>864</v>
      </c>
      <c r="H12" s="149" t="str">
        <f t="shared" si="2"/>
        <v>PROGRAMSKO FINANCIRANJE JAVNIH VISOKIH UČILIŠTA</v>
      </c>
      <c r="I12" s="198">
        <v>24000</v>
      </c>
      <c r="J12" s="198">
        <v>24533</v>
      </c>
      <c r="K12" s="198">
        <v>24759</v>
      </c>
      <c r="M12" s="144" t="str">
        <f t="shared" si="3"/>
        <v>321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3221</v>
      </c>
      <c r="F13" s="149" t="str">
        <f t="shared" si="0"/>
        <v>Uredski materijal i ostali materijalni rashodi</v>
      </c>
      <c r="G13" s="201" t="s">
        <v>864</v>
      </c>
      <c r="H13" s="149" t="str">
        <f t="shared" si="2"/>
        <v>PROGRAMSKO FINANCIRANJE JAVNIH VISOKIH UČILIŠTA</v>
      </c>
      <c r="I13" s="198">
        <v>80000</v>
      </c>
      <c r="J13" s="198">
        <v>81776</v>
      </c>
      <c r="K13" s="198">
        <v>82528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3222</v>
      </c>
      <c r="F14" s="149" t="str">
        <f t="shared" si="0"/>
        <v>Materijal i sirovine</v>
      </c>
      <c r="G14" s="201" t="s">
        <v>864</v>
      </c>
      <c r="H14" s="149" t="str">
        <f t="shared" si="2"/>
        <v>PROGRAMSKO FINANCIRANJE JAVNIH VISOKIH UČILIŠTA</v>
      </c>
      <c r="I14" s="198">
        <v>80000</v>
      </c>
      <c r="J14" s="198">
        <v>81776</v>
      </c>
      <c r="K14" s="198">
        <v>82528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3223</v>
      </c>
      <c r="F15" s="149" t="str">
        <f t="shared" si="0"/>
        <v>Energija</v>
      </c>
      <c r="G15" s="201" t="s">
        <v>864</v>
      </c>
      <c r="H15" s="149" t="str">
        <f t="shared" si="2"/>
        <v>PROGRAMSKO FINANCIRANJE JAVNIH VISOKIH UČILIŠTA</v>
      </c>
      <c r="I15" s="198">
        <v>600000</v>
      </c>
      <c r="J15" s="198">
        <v>613320</v>
      </c>
      <c r="K15" s="198">
        <v>618963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3224</v>
      </c>
      <c r="F16" s="149" t="str">
        <f t="shared" si="0"/>
        <v>Materijal i dijelovi za tekuće i investicijsko održavanje</v>
      </c>
      <c r="G16" s="201" t="s">
        <v>864</v>
      </c>
      <c r="H16" s="149" t="str">
        <f t="shared" si="2"/>
        <v>PROGRAMSKO FINANCIRANJE JAVNIH VISOKIH UČILIŠTA</v>
      </c>
      <c r="I16" s="198">
        <v>50000</v>
      </c>
      <c r="J16" s="198">
        <v>51110</v>
      </c>
      <c r="K16" s="198">
        <v>51580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3225</v>
      </c>
      <c r="F17" s="149" t="str">
        <f t="shared" si="0"/>
        <v>Sitni inventar i auto gume</v>
      </c>
      <c r="G17" s="201" t="s">
        <v>864</v>
      </c>
      <c r="H17" s="149" t="str">
        <f t="shared" si="2"/>
        <v>PROGRAMSKO FINANCIRANJE JAVNIH VISOKIH UČILIŠTA</v>
      </c>
      <c r="I17" s="198">
        <v>25000</v>
      </c>
      <c r="J17" s="198">
        <v>25555</v>
      </c>
      <c r="K17" s="198">
        <v>25790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3231</v>
      </c>
      <c r="F18" s="149" t="str">
        <f t="shared" si="0"/>
        <v>Usluge telefona, pošte i prijevoza</v>
      </c>
      <c r="G18" s="201" t="s">
        <v>864</v>
      </c>
      <c r="H18" s="149" t="str">
        <f t="shared" si="2"/>
        <v>PROGRAMSKO FINANCIRANJE JAVNIH VISOKIH UČILIŠTA</v>
      </c>
      <c r="I18" s="198">
        <v>120000</v>
      </c>
      <c r="J18" s="198">
        <v>122664</v>
      </c>
      <c r="K18" s="198">
        <v>123793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3232</v>
      </c>
      <c r="F19" s="149" t="str">
        <f t="shared" si="0"/>
        <v>Usluge tekućeg i investicijskog održavanja</v>
      </c>
      <c r="G19" s="201" t="s">
        <v>864</v>
      </c>
      <c r="H19" s="149" t="str">
        <f t="shared" si="2"/>
        <v>PROGRAMSKO FINANCIRANJE JAVNIH VISOKIH UČILIŠTA</v>
      </c>
      <c r="I19" s="198">
        <v>200000</v>
      </c>
      <c r="J19" s="198">
        <v>204440</v>
      </c>
      <c r="K19" s="198">
        <v>206321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3233</v>
      </c>
      <c r="F20" s="149" t="str">
        <f t="shared" si="0"/>
        <v>Usluge promidžbe i informiranja</v>
      </c>
      <c r="G20" s="201" t="s">
        <v>864</v>
      </c>
      <c r="H20" s="149" t="str">
        <f t="shared" si="2"/>
        <v>PROGRAMSKO FINANCIRANJE JAVNIH VISOKIH UČILIŠTA</v>
      </c>
      <c r="I20" s="198">
        <v>120000</v>
      </c>
      <c r="J20" s="198">
        <v>122664</v>
      </c>
      <c r="K20" s="198">
        <v>123792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3234</v>
      </c>
      <c r="F21" s="149" t="str">
        <f t="shared" si="0"/>
        <v>Komunalne usluge</v>
      </c>
      <c r="G21" s="201" t="s">
        <v>864</v>
      </c>
      <c r="H21" s="149" t="str">
        <f t="shared" si="2"/>
        <v>PROGRAMSKO FINANCIRANJE JAVNIH VISOKIH UČILIŠTA</v>
      </c>
      <c r="I21" s="198">
        <v>500000</v>
      </c>
      <c r="J21" s="198">
        <v>511100</v>
      </c>
      <c r="K21" s="198">
        <v>515802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3235</v>
      </c>
      <c r="F22" s="149" t="str">
        <f t="shared" si="0"/>
        <v>Zakupnine i najamnine</v>
      </c>
      <c r="G22" s="201" t="s">
        <v>864</v>
      </c>
      <c r="H22" s="149" t="str">
        <f t="shared" si="2"/>
        <v>PROGRAMSKO FINANCIRANJE JAVNIH VISOKIH UČILIŠTA</v>
      </c>
      <c r="I22" s="198">
        <v>24383</v>
      </c>
      <c r="J22" s="198">
        <v>24924</v>
      </c>
      <c r="K22" s="198">
        <v>25153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3237</v>
      </c>
      <c r="F23" s="149" t="str">
        <f t="shared" si="0"/>
        <v>Intelektualne i osobne usluge</v>
      </c>
      <c r="G23" s="201" t="s">
        <v>864</v>
      </c>
      <c r="H23" s="149" t="str">
        <f t="shared" si="2"/>
        <v>PROGRAMSKO FINANCIRANJE JAVNIH VISOKIH UČILIŠTA</v>
      </c>
      <c r="I23" s="198">
        <v>1300000</v>
      </c>
      <c r="J23" s="198">
        <v>1328860</v>
      </c>
      <c r="K23" s="198">
        <v>1341086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3238</v>
      </c>
      <c r="F24" s="149" t="str">
        <f t="shared" si="0"/>
        <v>Računalne usluge</v>
      </c>
      <c r="G24" s="201" t="s">
        <v>864</v>
      </c>
      <c r="H24" s="149" t="str">
        <f t="shared" si="2"/>
        <v>PROGRAMSKO FINANCIRANJE JAVNIH VISOKIH UČILIŠTA</v>
      </c>
      <c r="I24" s="198">
        <v>15000</v>
      </c>
      <c r="J24" s="198">
        <v>15333</v>
      </c>
      <c r="K24" s="198">
        <v>15474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3239</v>
      </c>
      <c r="F25" s="149" t="str">
        <f t="shared" si="0"/>
        <v>Ostale usluge</v>
      </c>
      <c r="G25" s="201" t="s">
        <v>864</v>
      </c>
      <c r="H25" s="149" t="str">
        <f t="shared" si="2"/>
        <v>PROGRAMSKO FINANCIRANJE JAVNIH VISOKIH UČILIŠTA</v>
      </c>
      <c r="I25" s="198">
        <v>80000</v>
      </c>
      <c r="J25" s="198">
        <v>81766</v>
      </c>
      <c r="K25" s="198">
        <v>82518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3293</v>
      </c>
      <c r="F26" s="149" t="str">
        <f t="shared" si="0"/>
        <v>Reprezentacija</v>
      </c>
      <c r="G26" s="201" t="s">
        <v>864</v>
      </c>
      <c r="H26" s="149" t="str">
        <f t="shared" si="2"/>
        <v>PROGRAMSKO FINANCIRANJE JAVNIH VISOKIH UČILIŠTA</v>
      </c>
      <c r="I26" s="198">
        <v>70000</v>
      </c>
      <c r="J26" s="198">
        <v>71554</v>
      </c>
      <c r="K26" s="198">
        <v>72213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3299</v>
      </c>
      <c r="F27" s="149" t="str">
        <f t="shared" si="0"/>
        <v>Ostali nespomenuti rashodi poslovanja</v>
      </c>
      <c r="G27" s="201" t="s">
        <v>864</v>
      </c>
      <c r="H27" s="149" t="str">
        <f t="shared" si="2"/>
        <v>PROGRAMSKO FINANCIRANJE JAVNIH VISOKIH UČILIŠTA</v>
      </c>
      <c r="I27" s="198">
        <v>3000</v>
      </c>
      <c r="J27" s="198">
        <v>3067</v>
      </c>
      <c r="K27" s="198">
        <v>3095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3431</v>
      </c>
      <c r="F28" s="149" t="str">
        <f t="shared" si="0"/>
        <v>Bankarske usluge i usluge platnog prometa</v>
      </c>
      <c r="G28" s="201" t="s">
        <v>864</v>
      </c>
      <c r="H28" s="149" t="str">
        <f t="shared" si="2"/>
        <v>PROGRAMSKO FINANCIRANJE JAVNIH VISOKIH UČILIŠTA</v>
      </c>
      <c r="I28" s="198">
        <v>10000</v>
      </c>
      <c r="J28" s="198">
        <v>10221</v>
      </c>
      <c r="K28" s="198">
        <v>10315</v>
      </c>
      <c r="M28" s="144" t="str">
        <f t="shared" si="3"/>
        <v>343</v>
      </c>
      <c r="N28" s="144" t="str">
        <f t="shared" si="4"/>
        <v>34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3237</v>
      </c>
      <c r="F29" s="149" t="str">
        <f t="shared" si="0"/>
        <v>Intelektualne i osobne usluge</v>
      </c>
      <c r="G29" s="201" t="s">
        <v>866</v>
      </c>
      <c r="H29" s="149" t="str">
        <f t="shared" si="2"/>
        <v>PROGRAMI VJEŽBAONICA VISOKIH UČILIŠTA</v>
      </c>
      <c r="I29" s="198">
        <v>9910</v>
      </c>
      <c r="J29" s="198">
        <v>9910</v>
      </c>
      <c r="K29" s="198">
        <v>9910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31</v>
      </c>
      <c r="D30" s="149" t="str">
        <f t="shared" si="1"/>
        <v>Vlastiti prihodi</v>
      </c>
      <c r="E30" s="154">
        <v>3111</v>
      </c>
      <c r="F30" s="149" t="str">
        <f t="shared" si="0"/>
        <v>Plaće za redovan rad</v>
      </c>
      <c r="G30" s="201" t="s">
        <v>165</v>
      </c>
      <c r="H30" s="149" t="str">
        <f t="shared" si="2"/>
        <v>REDOVNA DJELATNOST SVEUČILIŠTA U ZAGREBU (IZ EVIDENCIJSKIH PRIHODA)</v>
      </c>
      <c r="I30" s="198">
        <v>95000</v>
      </c>
      <c r="J30" s="198">
        <v>97109</v>
      </c>
      <c r="K30" s="198">
        <v>98002</v>
      </c>
      <c r="M30" s="144" t="str">
        <f t="shared" si="3"/>
        <v>311</v>
      </c>
      <c r="N30" s="144" t="str">
        <f t="shared" si="4"/>
        <v>31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31</v>
      </c>
      <c r="D31" s="149" t="str">
        <f t="shared" si="1"/>
        <v>Vlastiti prihodi</v>
      </c>
      <c r="E31" s="154">
        <v>3121</v>
      </c>
      <c r="F31" s="149" t="str">
        <f t="shared" si="0"/>
        <v>Ostali rashodi za zaposlene</v>
      </c>
      <c r="G31" s="201" t="s">
        <v>165</v>
      </c>
      <c r="H31" s="149" t="str">
        <f t="shared" si="2"/>
        <v>REDOVNA DJELATNOST SVEUČILIŠTA U ZAGREBU (IZ EVIDENCIJSKIH PRIHODA)</v>
      </c>
      <c r="I31" s="198">
        <v>2500</v>
      </c>
      <c r="J31" s="198">
        <v>2555</v>
      </c>
      <c r="K31" s="198">
        <v>2578</v>
      </c>
      <c r="M31" s="144" t="str">
        <f t="shared" si="3"/>
        <v>312</v>
      </c>
      <c r="N31" s="144" t="str">
        <f t="shared" si="4"/>
        <v>31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31</v>
      </c>
      <c r="D32" s="149" t="str">
        <f t="shared" si="1"/>
        <v>Vlastiti prihodi</v>
      </c>
      <c r="E32" s="154">
        <v>3132</v>
      </c>
      <c r="F32" s="149" t="str">
        <f t="shared" si="0"/>
        <v>Doprinosi za obvezno zdravstveno osiguranje</v>
      </c>
      <c r="G32" s="201" t="s">
        <v>165</v>
      </c>
      <c r="H32" s="149" t="str">
        <f t="shared" si="2"/>
        <v>REDOVNA DJELATNOST SVEUČILIŠTA U ZAGREBU (IZ EVIDENCIJSKIH PRIHODA)</v>
      </c>
      <c r="I32" s="198">
        <v>15000</v>
      </c>
      <c r="J32" s="198">
        <v>15333</v>
      </c>
      <c r="K32" s="198">
        <v>15475</v>
      </c>
      <c r="M32" s="144" t="str">
        <f t="shared" si="3"/>
        <v>313</v>
      </c>
      <c r="N32" s="144" t="str">
        <f t="shared" si="4"/>
        <v>31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31</v>
      </c>
      <c r="D33" s="149" t="str">
        <f t="shared" si="1"/>
        <v>Vlastiti prihodi</v>
      </c>
      <c r="E33" s="154">
        <v>3222</v>
      </c>
      <c r="F33" s="149" t="str">
        <f t="shared" si="0"/>
        <v>Materijal i sirovine</v>
      </c>
      <c r="G33" s="201" t="s">
        <v>165</v>
      </c>
      <c r="H33" s="149" t="str">
        <f t="shared" si="2"/>
        <v>REDOVNA DJELATNOST SVEUČILIŠTA U ZAGREBU (IZ EVIDENCIJSKIH PRIHODA)</v>
      </c>
      <c r="I33" s="198">
        <v>72500</v>
      </c>
      <c r="J33" s="198">
        <v>74109</v>
      </c>
      <c r="K33" s="198">
        <v>74791</v>
      </c>
      <c r="M33" s="144" t="str">
        <f t="shared" si="3"/>
        <v>322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31</v>
      </c>
      <c r="D34" s="149" t="str">
        <f t="shared" si="1"/>
        <v>Vlastiti prihodi</v>
      </c>
      <c r="E34" s="154">
        <v>4221</v>
      </c>
      <c r="F34" s="149" t="str">
        <f t="shared" si="0"/>
        <v>Uredska oprema i namještaj</v>
      </c>
      <c r="G34" s="201" t="s">
        <v>165</v>
      </c>
      <c r="H34" s="149" t="str">
        <f t="shared" si="2"/>
        <v>REDOVNA DJELATNOST SVEUČILIŠTA U ZAGREBU (IZ EVIDENCIJSKIH PRIHODA)</v>
      </c>
      <c r="I34" s="198">
        <v>115000</v>
      </c>
      <c r="J34" s="198">
        <v>117553</v>
      </c>
      <c r="K34" s="198">
        <v>118634</v>
      </c>
      <c r="M34" s="144" t="str">
        <f t="shared" si="3"/>
        <v>422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3121</v>
      </c>
      <c r="F35" s="149" t="str">
        <f t="shared" si="0"/>
        <v>Ostali rashodi za zaposlene</v>
      </c>
      <c r="G35" s="201" t="s">
        <v>165</v>
      </c>
      <c r="H35" s="149" t="str">
        <f t="shared" si="2"/>
        <v>REDOVNA DJELATNOST SVEUČILIŠTA U ZAGREBU (IZ EVIDENCIJSKIH PRIHODA)</v>
      </c>
      <c r="I35" s="198">
        <v>100000</v>
      </c>
      <c r="J35" s="198">
        <v>102220</v>
      </c>
      <c r="K35" s="198">
        <v>103160</v>
      </c>
      <c r="M35" s="144" t="str">
        <f t="shared" si="3"/>
        <v>312</v>
      </c>
      <c r="N35" s="144" t="str">
        <f t="shared" si="4"/>
        <v>31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43</v>
      </c>
      <c r="D36" s="149" t="str">
        <f t="shared" si="1"/>
        <v>Ostali prihodi za posebne namjene</v>
      </c>
      <c r="E36" s="154">
        <v>3222</v>
      </c>
      <c r="F36" s="149" t="str">
        <f t="shared" si="0"/>
        <v>Materijal i sirovine</v>
      </c>
      <c r="G36" s="201" t="s">
        <v>165</v>
      </c>
      <c r="H36" s="149" t="str">
        <f t="shared" si="2"/>
        <v>REDOVNA DJELATNOST SVEUČILIŠTA U ZAGREBU (IZ EVIDENCIJSKIH PRIHODA)</v>
      </c>
      <c r="I36" s="198">
        <v>200000</v>
      </c>
      <c r="J36" s="198">
        <v>204440</v>
      </c>
      <c r="K36" s="198">
        <v>206321</v>
      </c>
      <c r="M36" s="144" t="str">
        <f t="shared" si="3"/>
        <v>322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43</v>
      </c>
      <c r="D37" s="149" t="str">
        <f t="shared" si="1"/>
        <v>Ostali prihodi za posebne namjene</v>
      </c>
      <c r="E37" s="154">
        <v>3237</v>
      </c>
      <c r="F37" s="149" t="str">
        <f t="shared" si="0"/>
        <v>Intelektualne i osobne usluge</v>
      </c>
      <c r="G37" s="201" t="s">
        <v>165</v>
      </c>
      <c r="H37" s="149" t="str">
        <f t="shared" si="2"/>
        <v>REDOVNA DJELATNOST SVEUČILIŠTA U ZAGREBU (IZ EVIDENCIJSKIH PRIHODA)</v>
      </c>
      <c r="I37" s="198">
        <v>110000</v>
      </c>
      <c r="J37" s="198">
        <v>112442</v>
      </c>
      <c r="K37" s="198">
        <v>113477</v>
      </c>
      <c r="M37" s="144" t="str">
        <f t="shared" si="3"/>
        <v>323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43</v>
      </c>
      <c r="D38" s="149" t="str">
        <f t="shared" si="1"/>
        <v>Ostali prihodi za posebne namjene</v>
      </c>
      <c r="E38" s="154">
        <v>4221</v>
      </c>
      <c r="F38" s="149" t="str">
        <f t="shared" si="0"/>
        <v>Uredska oprema i namještaj</v>
      </c>
      <c r="G38" s="201" t="s">
        <v>165</v>
      </c>
      <c r="H38" s="149" t="str">
        <f t="shared" si="2"/>
        <v>REDOVNA DJELATNOST SVEUČILIŠTA U ZAGREBU (IZ EVIDENCIJSKIH PRIHODA)</v>
      </c>
      <c r="I38" s="198">
        <v>280000</v>
      </c>
      <c r="J38" s="198">
        <v>286216</v>
      </c>
      <c r="K38" s="198">
        <v>288849</v>
      </c>
      <c r="M38" s="144" t="str">
        <f t="shared" si="3"/>
        <v>422</v>
      </c>
      <c r="N38" s="144" t="str">
        <f t="shared" si="4"/>
        <v>42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43</v>
      </c>
      <c r="D39" s="149" t="str">
        <f t="shared" si="1"/>
        <v>Ostali prihodi za posebne namjene</v>
      </c>
      <c r="E39" s="154">
        <v>4227</v>
      </c>
      <c r="F39" s="149" t="str">
        <f t="shared" si="0"/>
        <v>Uređaji, strojevi i oprema za ostale namjene</v>
      </c>
      <c r="G39" s="201" t="s">
        <v>165</v>
      </c>
      <c r="H39" s="149" t="str">
        <f t="shared" si="2"/>
        <v>REDOVNA DJELATNOST SVEUČILIŠTA U ZAGREBU (IZ EVIDENCIJSKIH PRIHODA)</v>
      </c>
      <c r="I39" s="198">
        <v>100000</v>
      </c>
      <c r="J39" s="198">
        <v>102220</v>
      </c>
      <c r="K39" s="198">
        <v>103160</v>
      </c>
      <c r="M39" s="144" t="str">
        <f t="shared" si="3"/>
        <v>422</v>
      </c>
      <c r="N39" s="144" t="str">
        <f t="shared" si="4"/>
        <v>42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43</v>
      </c>
      <c r="D40" s="149" t="str">
        <f t="shared" si="1"/>
        <v>Ostali prihodi za posebne namjene</v>
      </c>
      <c r="E40" s="154">
        <v>4241</v>
      </c>
      <c r="F40" s="149" t="str">
        <f t="shared" si="0"/>
        <v>Knjige</v>
      </c>
      <c r="G40" s="201" t="s">
        <v>165</v>
      </c>
      <c r="H40" s="149" t="str">
        <f t="shared" si="2"/>
        <v>REDOVNA DJELATNOST SVEUČILIŠTA U ZAGREBU (IZ EVIDENCIJSKIH PRIHODA)</v>
      </c>
      <c r="I40" s="198">
        <v>20000</v>
      </c>
      <c r="J40" s="198">
        <v>20444</v>
      </c>
      <c r="K40" s="198">
        <v>20632</v>
      </c>
      <c r="M40" s="144" t="str">
        <f t="shared" si="3"/>
        <v>424</v>
      </c>
      <c r="N40" s="144" t="str">
        <f t="shared" si="4"/>
        <v>42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52</v>
      </c>
      <c r="D41" s="149" t="str">
        <f t="shared" si="1"/>
        <v>Ostale pomoći</v>
      </c>
      <c r="E41" s="154">
        <v>3237</v>
      </c>
      <c r="F41" s="149" t="str">
        <f t="shared" si="0"/>
        <v>Intelektualne i osobne usluge</v>
      </c>
      <c r="G41" s="201" t="s">
        <v>165</v>
      </c>
      <c r="H41" s="149" t="str">
        <f t="shared" si="2"/>
        <v>REDOVNA DJELATNOST SVEUČILIŠTA U ZAGREBU (IZ EVIDENCIJSKIH PRIHODA)</v>
      </c>
      <c r="I41" s="198">
        <v>160000</v>
      </c>
      <c r="J41" s="198">
        <v>163552</v>
      </c>
      <c r="K41" s="198">
        <v>165057</v>
      </c>
      <c r="M41" s="144" t="str">
        <f t="shared" si="3"/>
        <v>323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52</v>
      </c>
      <c r="D42" s="149" t="str">
        <f t="shared" si="1"/>
        <v>Ostale pomoći</v>
      </c>
      <c r="E42" s="154">
        <v>3239</v>
      </c>
      <c r="F42" s="149" t="str">
        <f t="shared" si="0"/>
        <v>Ostale usluge</v>
      </c>
      <c r="G42" s="201" t="s">
        <v>165</v>
      </c>
      <c r="H42" s="149" t="str">
        <f t="shared" si="2"/>
        <v>REDOVNA DJELATNOST SVEUČILIŠTA U ZAGREBU (IZ EVIDENCIJSKIH PRIHODA)</v>
      </c>
      <c r="I42" s="198">
        <v>120000</v>
      </c>
      <c r="J42" s="198">
        <v>122664</v>
      </c>
      <c r="K42" s="198">
        <v>123792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52</v>
      </c>
      <c r="D43" s="149" t="str">
        <f t="shared" si="1"/>
        <v>Ostale pomoći</v>
      </c>
      <c r="E43" s="154">
        <v>3211</v>
      </c>
      <c r="F43" s="149" t="str">
        <f t="shared" si="0"/>
        <v>Službena putovanja</v>
      </c>
      <c r="G43" s="201" t="s">
        <v>165</v>
      </c>
      <c r="H43" s="149" t="str">
        <f t="shared" si="2"/>
        <v>REDOVNA DJELATNOST SVEUČILIŠTA U ZAGREBU (IZ EVIDENCIJSKIH PRIHODA)</v>
      </c>
      <c r="I43" s="198">
        <v>10000</v>
      </c>
      <c r="J43" s="198">
        <v>10222</v>
      </c>
      <c r="K43" s="198">
        <v>10316</v>
      </c>
      <c r="M43" s="144" t="str">
        <f t="shared" si="3"/>
        <v>321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52</v>
      </c>
      <c r="D44" s="149" t="str">
        <f t="shared" si="1"/>
        <v>Ostale pomoći</v>
      </c>
      <c r="E44" s="154">
        <v>3222</v>
      </c>
      <c r="F44" s="149" t="str">
        <f t="shared" si="0"/>
        <v>Materijal i sirovine</v>
      </c>
      <c r="G44" s="201" t="s">
        <v>165</v>
      </c>
      <c r="H44" s="149" t="str">
        <f t="shared" si="2"/>
        <v>REDOVNA DJELATNOST SVEUČILIŠTA U ZAGREBU (IZ EVIDENCIJSKIH PRIHODA)</v>
      </c>
      <c r="I44" s="198">
        <v>10000</v>
      </c>
      <c r="J44" s="198">
        <v>10222</v>
      </c>
      <c r="K44" s="198">
        <v>10316</v>
      </c>
      <c r="M44" s="144" t="str">
        <f t="shared" si="3"/>
        <v>322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61</v>
      </c>
      <c r="D45" s="149" t="str">
        <f t="shared" si="1"/>
        <v>Donacije</v>
      </c>
      <c r="E45" s="154">
        <v>3222</v>
      </c>
      <c r="F45" s="149" t="str">
        <f t="shared" si="0"/>
        <v>Materijal i sirovine</v>
      </c>
      <c r="G45" s="201" t="s">
        <v>165</v>
      </c>
      <c r="H45" s="149" t="str">
        <f t="shared" si="2"/>
        <v>REDOVNA DJELATNOST SVEUČILIŠTA U ZAGREBU (IZ EVIDENCIJSKIH PRIHODA)</v>
      </c>
      <c r="I45" s="198">
        <v>210000</v>
      </c>
      <c r="J45" s="198">
        <v>214662</v>
      </c>
      <c r="K45" s="198">
        <v>216637</v>
      </c>
      <c r="M45" s="144" t="str">
        <f t="shared" si="3"/>
        <v>322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61</v>
      </c>
      <c r="D46" s="149" t="str">
        <f t="shared" si="1"/>
        <v>Donacije</v>
      </c>
      <c r="E46" s="154">
        <v>3237</v>
      </c>
      <c r="F46" s="149" t="str">
        <f t="shared" si="0"/>
        <v>Intelektualne i osobne usluge</v>
      </c>
      <c r="G46" s="201" t="s">
        <v>165</v>
      </c>
      <c r="H46" s="149" t="str">
        <f t="shared" si="2"/>
        <v>REDOVNA DJELATNOST SVEUČILIŠTA U ZAGREBU (IZ EVIDENCIJSKIH PRIHODA)</v>
      </c>
      <c r="I46" s="198">
        <v>90000</v>
      </c>
      <c r="J46" s="198">
        <v>91998</v>
      </c>
      <c r="K46" s="198">
        <v>92844</v>
      </c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3212</v>
      </c>
      <c r="F47" s="149" t="str">
        <f t="shared" si="0"/>
        <v>Naknade za prijevoz, za rad na terenu i odvojeni život</v>
      </c>
      <c r="G47" s="201" t="s">
        <v>165</v>
      </c>
      <c r="H47" s="149" t="str">
        <f t="shared" si="2"/>
        <v>REDOVNA DJELATNOST SVEUČILIŠTA U ZAGREBU (IZ EVIDENCIJSKIH PRIHODA)</v>
      </c>
      <c r="I47" s="198">
        <v>70000</v>
      </c>
      <c r="J47" s="198">
        <v>71555</v>
      </c>
      <c r="K47" s="198">
        <v>72213</v>
      </c>
      <c r="M47" s="144" t="str">
        <f t="shared" si="3"/>
        <v>321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561</v>
      </c>
      <c r="D48" s="149" t="str">
        <f t="shared" si="1"/>
        <v>Europski socijalni fond (ESF)</v>
      </c>
      <c r="E48" s="154">
        <v>3111</v>
      </c>
      <c r="F48" s="149" t="str">
        <f t="shared" si="0"/>
        <v>Plaće za redovan rad</v>
      </c>
      <c r="G48" s="201" t="s">
        <v>897</v>
      </c>
      <c r="H48" s="149" t="str">
        <f t="shared" si="2"/>
        <v>OP UČINKOVITI LJUDSKI POTENCIJALI 2014.-2020., PRIORITET 3</v>
      </c>
      <c r="I48" s="198">
        <v>60000</v>
      </c>
      <c r="J48" s="198">
        <v>60000</v>
      </c>
      <c r="K48" s="198">
        <v>10000</v>
      </c>
      <c r="M48" s="144" t="str">
        <f t="shared" si="3"/>
        <v>311</v>
      </c>
      <c r="N48" s="144" t="str">
        <f t="shared" si="4"/>
        <v>31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561</v>
      </c>
      <c r="D49" s="149" t="str">
        <f t="shared" si="1"/>
        <v>Europski socijalni fond (ESF)</v>
      </c>
      <c r="E49" s="154">
        <v>3237</v>
      </c>
      <c r="F49" s="149" t="str">
        <f t="shared" si="0"/>
        <v>Intelektualne i osobne usluge</v>
      </c>
      <c r="G49" s="201" t="s">
        <v>897</v>
      </c>
      <c r="H49" s="149" t="str">
        <f t="shared" si="2"/>
        <v>OP UČINKOVITI LJUDSKI POTENCIJALI 2014.-2020., PRIORITET 3</v>
      </c>
      <c r="I49" s="198">
        <v>950465</v>
      </c>
      <c r="J49" s="198">
        <v>459300</v>
      </c>
      <c r="K49" s="198">
        <v>7750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561</v>
      </c>
      <c r="D50" s="149" t="str">
        <f t="shared" si="1"/>
        <v>Europski socijalni fond (ESF)</v>
      </c>
      <c r="E50" s="154">
        <v>3239</v>
      </c>
      <c r="F50" s="149" t="str">
        <f t="shared" si="0"/>
        <v>Ostale usluge</v>
      </c>
      <c r="G50" s="201" t="s">
        <v>897</v>
      </c>
      <c r="H50" s="149" t="str">
        <f t="shared" si="2"/>
        <v>OP UČINKOVITI LJUDSKI POTENCIJALI 2014.-2020., PRIORITET 3</v>
      </c>
      <c r="I50" s="198">
        <v>536000</v>
      </c>
      <c r="J50" s="198">
        <v>564800</v>
      </c>
      <c r="K50" s="198">
        <v>100000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561</v>
      </c>
      <c r="D51" s="149" t="str">
        <f t="shared" si="1"/>
        <v>Europski socijalni fond (ESF)</v>
      </c>
      <c r="E51" s="154">
        <v>4221</v>
      </c>
      <c r="F51" s="149" t="str">
        <f t="shared" si="0"/>
        <v>Uredska oprema i namještaj</v>
      </c>
      <c r="G51" s="201" t="s">
        <v>897</v>
      </c>
      <c r="H51" s="149" t="str">
        <f t="shared" si="2"/>
        <v>OP UČINKOVITI LJUDSKI POTENCIJALI 2014.-2020., PRIORITET 3</v>
      </c>
      <c r="I51" s="198">
        <v>407600</v>
      </c>
      <c r="J51" s="198">
        <v>0</v>
      </c>
      <c r="K51" s="198">
        <v>0</v>
      </c>
      <c r="M51" s="144" t="str">
        <f t="shared" si="3"/>
        <v>422</v>
      </c>
      <c r="N51" s="144" t="str">
        <f t="shared" si="4"/>
        <v>42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12</v>
      </c>
      <c r="D52" s="149" t="str">
        <f t="shared" si="1"/>
        <v>Sredstva učešća za pomoći</v>
      </c>
      <c r="E52" s="154">
        <v>3111</v>
      </c>
      <c r="F52" s="149" t="str">
        <f t="shared" si="0"/>
        <v>Plaće za redovan rad</v>
      </c>
      <c r="G52" s="201" t="s">
        <v>897</v>
      </c>
      <c r="H52" s="149" t="str">
        <f t="shared" si="2"/>
        <v>OP UČINKOVITI LJUDSKI POTENCIJALI 2014.-2020., PRIORITET 3</v>
      </c>
      <c r="I52" s="198">
        <v>293110</v>
      </c>
      <c r="J52" s="198">
        <v>162615</v>
      </c>
      <c r="K52" s="198">
        <v>17663</v>
      </c>
      <c r="M52" s="144" t="str">
        <f t="shared" si="3"/>
        <v>311</v>
      </c>
      <c r="N52" s="144" t="str">
        <f t="shared" si="4"/>
        <v>31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/>
      </c>
      <c r="B53" s="148" t="str">
        <f>IF(C53="","",VLOOKUP('Opći dio'!$C$3,'Opći dio'!$L$6:$U$135,9,FALSE))</f>
        <v/>
      </c>
      <c r="C53" s="154"/>
      <c r="D53" s="149" t="str">
        <f t="shared" si="1"/>
        <v/>
      </c>
      <c r="E53" s="154"/>
      <c r="F53" s="149" t="str">
        <f t="shared" si="0"/>
        <v/>
      </c>
      <c r="G53" s="201"/>
      <c r="H53" s="149" t="str">
        <f t="shared" si="2"/>
        <v/>
      </c>
      <c r="I53" s="198"/>
      <c r="J53" s="198"/>
      <c r="K53" s="198"/>
      <c r="M53" s="144" t="str">
        <f t="shared" si="3"/>
        <v/>
      </c>
      <c r="N53" s="144" t="str">
        <f t="shared" si="4"/>
        <v/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/>
      </c>
      <c r="B54" s="148" t="str">
        <f>IF(C54="","",VLOOKUP('Opći dio'!$C$3,'Opći dio'!$L$6:$U$135,9,FALSE))</f>
        <v/>
      </c>
      <c r="C54" s="154"/>
      <c r="D54" s="149" t="str">
        <f t="shared" si="1"/>
        <v/>
      </c>
      <c r="E54" s="154"/>
      <c r="F54" s="149" t="str">
        <f t="shared" si="0"/>
        <v/>
      </c>
      <c r="G54" s="201"/>
      <c r="H54" s="149" t="str">
        <f t="shared" si="2"/>
        <v/>
      </c>
      <c r="I54" s="198"/>
      <c r="J54" s="198"/>
      <c r="K54" s="198"/>
      <c r="M54" s="144" t="str">
        <f t="shared" si="3"/>
        <v/>
      </c>
      <c r="N54" s="144" t="str">
        <f t="shared" si="4"/>
        <v/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/>
      </c>
      <c r="B55" s="148" t="str">
        <f>IF(C55="","",VLOOKUP('Opći dio'!$C$3,'Opći dio'!$L$6:$U$135,9,FALSE))</f>
        <v/>
      </c>
      <c r="C55" s="154"/>
      <c r="D55" s="149" t="str">
        <f t="shared" si="1"/>
        <v/>
      </c>
      <c r="E55" s="154"/>
      <c r="F55" s="149" t="str">
        <f t="shared" si="0"/>
        <v/>
      </c>
      <c r="G55" s="201"/>
      <c r="H55" s="149" t="str">
        <f t="shared" si="2"/>
        <v/>
      </c>
      <c r="I55" s="198"/>
      <c r="J55" s="198"/>
      <c r="K55" s="198"/>
      <c r="M55" s="144" t="str">
        <f t="shared" si="3"/>
        <v/>
      </c>
      <c r="N55" s="144" t="str">
        <f t="shared" si="4"/>
        <v/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/>
      </c>
      <c r="B56" s="148" t="str">
        <f>IF(C56="","",VLOOKUP('Opći dio'!$C$3,'Opći dio'!$L$6:$U$135,9,FALSE))</f>
        <v/>
      </c>
      <c r="C56" s="154"/>
      <c r="D56" s="149" t="str">
        <f t="shared" si="1"/>
        <v/>
      </c>
      <c r="E56" s="154"/>
      <c r="F56" s="149" t="str">
        <f t="shared" si="0"/>
        <v/>
      </c>
      <c r="G56" s="201"/>
      <c r="H56" s="149" t="str">
        <f t="shared" si="2"/>
        <v/>
      </c>
      <c r="I56" s="198"/>
      <c r="J56" s="198"/>
      <c r="K56" s="198"/>
      <c r="M56" s="144" t="str">
        <f t="shared" si="3"/>
        <v/>
      </c>
      <c r="N56" s="144" t="str">
        <f t="shared" si="4"/>
        <v/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/>
      </c>
      <c r="B57" s="148" t="str">
        <f>IF(C57="","",VLOOKUP('Opći dio'!$C$3,'Opći dio'!$L$6:$U$135,9,FALSE))</f>
        <v/>
      </c>
      <c r="C57" s="154"/>
      <c r="D57" s="149" t="str">
        <f t="shared" si="1"/>
        <v/>
      </c>
      <c r="E57" s="154"/>
      <c r="F57" s="149" t="str">
        <f t="shared" si="0"/>
        <v/>
      </c>
      <c r="G57" s="201"/>
      <c r="H57" s="149" t="str">
        <f t="shared" si="2"/>
        <v/>
      </c>
      <c r="I57" s="198"/>
      <c r="J57" s="198"/>
      <c r="K57" s="198"/>
      <c r="M57" s="144" t="str">
        <f t="shared" si="3"/>
        <v/>
      </c>
      <c r="N57" s="144" t="str">
        <f t="shared" si="4"/>
        <v/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/>
      </c>
      <c r="B58" s="148" t="str">
        <f>IF(C58="","",VLOOKUP('Opći dio'!$C$3,'Opći dio'!$L$6:$U$135,9,FALSE))</f>
        <v/>
      </c>
      <c r="C58" s="154"/>
      <c r="D58" s="149" t="str">
        <f t="shared" si="1"/>
        <v/>
      </c>
      <c r="E58" s="154"/>
      <c r="F58" s="149" t="str">
        <f t="shared" si="0"/>
        <v/>
      </c>
      <c r="G58" s="201"/>
      <c r="H58" s="149" t="str">
        <f t="shared" si="2"/>
        <v/>
      </c>
      <c r="I58" s="198"/>
      <c r="J58" s="198"/>
      <c r="K58" s="198"/>
      <c r="M58" s="144" t="str">
        <f t="shared" si="3"/>
        <v/>
      </c>
      <c r="N58" s="144" t="str">
        <f t="shared" si="4"/>
        <v/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/>
      </c>
      <c r="B59" s="148" t="str">
        <f>IF(C59="","",VLOOKUP('Opći dio'!$C$3,'Opći dio'!$L$6:$U$135,9,FALSE))</f>
        <v/>
      </c>
      <c r="C59" s="154"/>
      <c r="D59" s="149" t="str">
        <f t="shared" si="1"/>
        <v/>
      </c>
      <c r="E59" s="154"/>
      <c r="F59" s="149" t="str">
        <f t="shared" si="0"/>
        <v/>
      </c>
      <c r="G59" s="201"/>
      <c r="H59" s="149" t="str">
        <f t="shared" si="2"/>
        <v/>
      </c>
      <c r="I59" s="198"/>
      <c r="J59" s="198"/>
      <c r="K59" s="198"/>
      <c r="M59" s="144" t="str">
        <f t="shared" si="3"/>
        <v/>
      </c>
      <c r="N59" s="144" t="str">
        <f t="shared" si="4"/>
        <v/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/>
      </c>
      <c r="B60" s="148" t="str">
        <f>IF(C60="","",VLOOKUP('Opći dio'!$C$3,'Opći dio'!$L$6:$U$135,9,FALSE))</f>
        <v/>
      </c>
      <c r="C60" s="154"/>
      <c r="D60" s="149" t="str">
        <f t="shared" si="1"/>
        <v/>
      </c>
      <c r="E60" s="154"/>
      <c r="F60" s="149" t="str">
        <f t="shared" si="0"/>
        <v/>
      </c>
      <c r="G60" s="201"/>
      <c r="H60" s="149" t="str">
        <f t="shared" si="2"/>
        <v/>
      </c>
      <c r="I60" s="198"/>
      <c r="J60" s="198"/>
      <c r="K60" s="198"/>
      <c r="M60" s="144" t="str">
        <f t="shared" si="3"/>
        <v/>
      </c>
      <c r="N60" s="144" t="str">
        <f t="shared" si="4"/>
        <v/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201"/>
      <c r="H61" s="149" t="str">
        <f t="shared" si="2"/>
        <v/>
      </c>
      <c r="I61" s="198"/>
      <c r="J61" s="198"/>
      <c r="K61" s="198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201"/>
      <c r="H62" s="149" t="str">
        <f t="shared" si="2"/>
        <v/>
      </c>
      <c r="I62" s="198"/>
      <c r="J62" s="198"/>
      <c r="K62" s="198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201"/>
      <c r="H63" s="149" t="str">
        <f t="shared" si="2"/>
        <v/>
      </c>
      <c r="I63" s="198"/>
      <c r="J63" s="198"/>
      <c r="K63" s="198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201"/>
      <c r="H64" s="149" t="str">
        <f t="shared" si="2"/>
        <v/>
      </c>
      <c r="I64" s="198"/>
      <c r="J64" s="198"/>
      <c r="K64" s="198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201"/>
      <c r="H65" s="149" t="str">
        <f t="shared" si="2"/>
        <v/>
      </c>
      <c r="I65" s="198"/>
      <c r="J65" s="198"/>
      <c r="K65" s="198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201"/>
      <c r="H66" s="149" t="str">
        <f t="shared" si="2"/>
        <v/>
      </c>
      <c r="I66" s="198"/>
      <c r="J66" s="198"/>
      <c r="K66" s="198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201"/>
      <c r="H67" s="149" t="str">
        <f t="shared" si="2"/>
        <v/>
      </c>
      <c r="I67" s="198"/>
      <c r="J67" s="198"/>
      <c r="K67" s="198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201"/>
      <c r="H68" s="149" t="str">
        <f t="shared" ref="H68:H131" si="13">IFERROR(VLOOKUP(G68,$X$6:$Y$50,2,FALSE),"")</f>
        <v/>
      </c>
      <c r="I68" s="198"/>
      <c r="J68" s="198"/>
      <c r="K68" s="198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201"/>
      <c r="H69" s="149" t="str">
        <f t="shared" si="13"/>
        <v/>
      </c>
      <c r="I69" s="198"/>
      <c r="J69" s="198"/>
      <c r="K69" s="198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201"/>
      <c r="H70" s="149" t="str">
        <f t="shared" si="13"/>
        <v/>
      </c>
      <c r="I70" s="198"/>
      <c r="J70" s="198"/>
      <c r="K70" s="198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201"/>
      <c r="H71" s="149" t="str">
        <f t="shared" si="13"/>
        <v/>
      </c>
      <c r="I71" s="198"/>
      <c r="J71" s="198"/>
      <c r="K71" s="198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201"/>
      <c r="H72" s="149" t="str">
        <f t="shared" si="13"/>
        <v/>
      </c>
      <c r="I72" s="198"/>
      <c r="J72" s="198"/>
      <c r="K72" s="198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12" activePane="bottomLeft" state="frozen"/>
      <selection pane="bottomLeft" activeCell="E7" sqref="E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0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34123967</v>
      </c>
      <c r="D6" s="15">
        <f t="shared" ref="D6:P6" si="1">+D26+D33</f>
        <v>30096792</v>
      </c>
      <c r="E6" s="15">
        <f t="shared" si="1"/>
        <v>293110</v>
      </c>
      <c r="F6" s="15">
        <f t="shared" si="1"/>
        <v>370000</v>
      </c>
      <c r="G6" s="15">
        <f t="shared" si="1"/>
        <v>810000</v>
      </c>
      <c r="H6" s="15">
        <f t="shared" si="1"/>
        <v>0</v>
      </c>
      <c r="I6" s="15">
        <f t="shared" si="1"/>
        <v>300000</v>
      </c>
      <c r="J6" s="15">
        <f t="shared" si="1"/>
        <v>0</v>
      </c>
      <c r="K6" s="15">
        <f t="shared" si="1"/>
        <v>1954065</v>
      </c>
      <c r="L6" s="15">
        <f t="shared" si="1"/>
        <v>0</v>
      </c>
      <c r="M6" s="15">
        <f t="shared" si="1"/>
        <v>300000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0</v>
      </c>
      <c r="D7" s="115">
        <v>0</v>
      </c>
      <c r="E7" s="115"/>
      <c r="F7" s="115"/>
      <c r="G7" s="115"/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34123967</v>
      </c>
      <c r="D8" s="15">
        <f>+D5+D6+D7</f>
        <v>30096792</v>
      </c>
      <c r="E8" s="15">
        <f t="shared" ref="E8:P8" si="2">+E5+E6+E7</f>
        <v>293110</v>
      </c>
      <c r="F8" s="15">
        <f t="shared" si="2"/>
        <v>370000</v>
      </c>
      <c r="G8" s="15">
        <f t="shared" si="2"/>
        <v>810000</v>
      </c>
      <c r="H8" s="15">
        <f t="shared" si="2"/>
        <v>0</v>
      </c>
      <c r="I8" s="15">
        <f t="shared" si="2"/>
        <v>300000</v>
      </c>
      <c r="J8" s="15">
        <f t="shared" si="2"/>
        <v>0</v>
      </c>
      <c r="K8" s="15">
        <f t="shared" si="2"/>
        <v>1954065</v>
      </c>
      <c r="L8" s="15">
        <f t="shared" si="2"/>
        <v>0</v>
      </c>
      <c r="M8" s="15">
        <f t="shared" si="2"/>
        <v>300000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34123967</v>
      </c>
      <c r="D9" s="138">
        <f>+'PLAN RASHODA I IZDATAKA'!D3</f>
        <v>30096792</v>
      </c>
      <c r="E9" s="138">
        <f>+'PLAN RASHODA I IZDATAKA'!E3</f>
        <v>293110</v>
      </c>
      <c r="F9" s="138">
        <f>+'PLAN RASHODA I IZDATAKA'!F3</f>
        <v>370000</v>
      </c>
      <c r="G9" s="138">
        <f>+'PLAN RASHODA I IZDATAKA'!G3</f>
        <v>810000</v>
      </c>
      <c r="H9" s="138">
        <f>+'PLAN RASHODA I IZDATAKA'!H3</f>
        <v>0</v>
      </c>
      <c r="I9" s="138">
        <f>+'PLAN RASHODA I IZDATAKA'!I3</f>
        <v>300000</v>
      </c>
      <c r="J9" s="138">
        <f>+'PLAN RASHODA I IZDATAKA'!J3</f>
        <v>0</v>
      </c>
      <c r="K9" s="138">
        <f>+'PLAN RASHODA I IZDATAKA'!K3</f>
        <v>1954065</v>
      </c>
      <c r="L9" s="138">
        <f>+'PLAN RASHODA I IZDATAKA'!L3</f>
        <v>0</v>
      </c>
      <c r="M9" s="138">
        <f>+'PLAN RASHODA I IZDATAKA'!M3</f>
        <v>300000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1954065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1954065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300000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300000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810000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810000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370000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370000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300000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300000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30389902</v>
      </c>
      <c r="D23" s="204">
        <f>SUMIFS('Plan prihoda za unos u SAP'!$G$3:$G$501,'Plan prihoda za unos u SAP'!$C$3:$C$501,"=11",'Plan prihoda za unos u SAP'!$K$3:$K$501,"=671")</f>
        <v>30096792</v>
      </c>
      <c r="E23" s="204">
        <f>SUMIFS('Plan prihoda za unos u SAP'!$G$3:$G$501,'Plan prihoda za unos u SAP'!$C$3:$C$501,"=12",'Plan prihoda za unos u SAP'!$K$3:$K$501,"=671")</f>
        <v>293110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34123967</v>
      </c>
      <c r="D26" s="4">
        <f t="shared" ref="D26:P26" si="6">SUM(D11:D25)</f>
        <v>30096792</v>
      </c>
      <c r="E26" s="4">
        <f t="shared" si="6"/>
        <v>293110</v>
      </c>
      <c r="F26" s="4">
        <f t="shared" si="6"/>
        <v>370000</v>
      </c>
      <c r="G26" s="4">
        <f t="shared" si="6"/>
        <v>810000</v>
      </c>
      <c r="H26" s="4">
        <f t="shared" si="6"/>
        <v>0</v>
      </c>
      <c r="I26" s="4">
        <f t="shared" si="6"/>
        <v>300000</v>
      </c>
      <c r="J26" s="4">
        <f t="shared" si="6"/>
        <v>0</v>
      </c>
      <c r="K26" s="4">
        <f t="shared" si="6"/>
        <v>1954065</v>
      </c>
      <c r="L26" s="4">
        <f t="shared" si="6"/>
        <v>0</v>
      </c>
      <c r="M26" s="4">
        <f t="shared" si="6"/>
        <v>300000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34123967</v>
      </c>
      <c r="D37" s="72">
        <f t="shared" ref="D37:P37" si="9">+D36+D33+D26</f>
        <v>30096792</v>
      </c>
      <c r="E37" s="72">
        <f t="shared" si="9"/>
        <v>293110</v>
      </c>
      <c r="F37" s="72">
        <f t="shared" si="9"/>
        <v>370000</v>
      </c>
      <c r="G37" s="72">
        <f t="shared" si="9"/>
        <v>810000</v>
      </c>
      <c r="H37" s="72">
        <f t="shared" si="9"/>
        <v>0</v>
      </c>
      <c r="I37" s="72">
        <f t="shared" si="9"/>
        <v>300000</v>
      </c>
      <c r="J37" s="72">
        <f t="shared" si="9"/>
        <v>0</v>
      </c>
      <c r="K37" s="72">
        <f t="shared" si="9"/>
        <v>1954065</v>
      </c>
      <c r="L37" s="72">
        <f t="shared" si="9"/>
        <v>0</v>
      </c>
      <c r="M37" s="72">
        <f t="shared" si="9"/>
        <v>300000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34599697</v>
      </c>
      <c r="D42" s="15">
        <f t="shared" ref="D42:P42" si="12">+D62+D69</f>
        <v>31533466</v>
      </c>
      <c r="E42" s="15">
        <f t="shared" si="12"/>
        <v>162615</v>
      </c>
      <c r="F42" s="15">
        <f t="shared" si="12"/>
        <v>378214</v>
      </c>
      <c r="G42" s="15">
        <f t="shared" si="12"/>
        <v>827982</v>
      </c>
      <c r="H42" s="15">
        <f t="shared" si="12"/>
        <v>0</v>
      </c>
      <c r="I42" s="15">
        <f t="shared" si="12"/>
        <v>306660</v>
      </c>
      <c r="J42" s="15">
        <f t="shared" si="12"/>
        <v>0</v>
      </c>
      <c r="K42" s="15">
        <f t="shared" si="12"/>
        <v>1084100</v>
      </c>
      <c r="L42" s="15">
        <f t="shared" si="12"/>
        <v>0</v>
      </c>
      <c r="M42" s="15">
        <f t="shared" si="12"/>
        <v>306660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0</v>
      </c>
      <c r="D43" s="115"/>
      <c r="E43" s="115"/>
      <c r="F43" s="115"/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34599697</v>
      </c>
      <c r="D44" s="15">
        <f>+D41+D42+D43</f>
        <v>31533466</v>
      </c>
      <c r="E44" s="15">
        <f t="shared" ref="E44:P44" si="13">+E41+E42+E43</f>
        <v>162615</v>
      </c>
      <c r="F44" s="15">
        <f t="shared" si="13"/>
        <v>378214</v>
      </c>
      <c r="G44" s="15">
        <f t="shared" si="13"/>
        <v>827982</v>
      </c>
      <c r="H44" s="15">
        <f t="shared" si="13"/>
        <v>0</v>
      </c>
      <c r="I44" s="15">
        <f t="shared" si="13"/>
        <v>306660</v>
      </c>
      <c r="J44" s="15">
        <f t="shared" si="13"/>
        <v>0</v>
      </c>
      <c r="K44" s="15">
        <f t="shared" si="13"/>
        <v>1084100</v>
      </c>
      <c r="L44" s="15">
        <f t="shared" si="13"/>
        <v>0</v>
      </c>
      <c r="M44" s="15">
        <f t="shared" si="13"/>
        <v>306660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34599697</v>
      </c>
      <c r="D45" s="138">
        <f>+'PLAN RASHODA I IZDATAKA'!D71</f>
        <v>31533466</v>
      </c>
      <c r="E45" s="138">
        <f>+'PLAN RASHODA I IZDATAKA'!E71</f>
        <v>162615</v>
      </c>
      <c r="F45" s="138">
        <f>+'PLAN RASHODA I IZDATAKA'!F71</f>
        <v>378214</v>
      </c>
      <c r="G45" s="138">
        <f>+'PLAN RASHODA I IZDATAKA'!G71</f>
        <v>827982</v>
      </c>
      <c r="H45" s="138">
        <f>+'PLAN RASHODA I IZDATAKA'!H71</f>
        <v>0</v>
      </c>
      <c r="I45" s="138">
        <f>+'PLAN RASHODA I IZDATAKA'!I71</f>
        <v>306660</v>
      </c>
      <c r="J45" s="138">
        <f>+'PLAN RASHODA I IZDATAKA'!J71</f>
        <v>0</v>
      </c>
      <c r="K45" s="138">
        <f>+'PLAN RASHODA I IZDATAKA'!K71</f>
        <v>1084100</v>
      </c>
      <c r="L45" s="138">
        <f>+'PLAN RASHODA I IZDATAKA'!L71</f>
        <v>0</v>
      </c>
      <c r="M45" s="138">
        <f>+'PLAN RASHODA I IZDATAKA'!M71</f>
        <v>306660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1084100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1084100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306660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306660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827982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827982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378214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378214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306660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306660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31696081</v>
      </c>
      <c r="D59" s="204">
        <f>SUMIFS('Plan prihoda za unos u SAP'!$H$3:$H$501,'Plan prihoda za unos u SAP'!$C$3:$C$501,"=11",'Plan prihoda za unos u SAP'!$K$3:$K$501,"=671")</f>
        <v>31533466</v>
      </c>
      <c r="E59" s="204">
        <f>SUMIFS('Plan prihoda za unos u SAP'!$H$3:$H$501,'Plan prihoda za unos u SAP'!$C$3:$C$501,"=12",'Plan prihoda za unos u SAP'!$K$3:$K$501,"=671")</f>
        <v>162615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34599697</v>
      </c>
      <c r="D62" s="4">
        <f t="shared" ref="D62:P62" si="17">SUM(D47:D61)</f>
        <v>31533466</v>
      </c>
      <c r="E62" s="4">
        <f t="shared" si="17"/>
        <v>162615</v>
      </c>
      <c r="F62" s="4">
        <f t="shared" si="17"/>
        <v>378214</v>
      </c>
      <c r="G62" s="4">
        <f t="shared" si="17"/>
        <v>827982</v>
      </c>
      <c r="H62" s="4">
        <f t="shared" si="17"/>
        <v>0</v>
      </c>
      <c r="I62" s="4">
        <f t="shared" si="17"/>
        <v>306660</v>
      </c>
      <c r="J62" s="4">
        <f t="shared" si="17"/>
        <v>0</v>
      </c>
      <c r="K62" s="4">
        <f t="shared" si="17"/>
        <v>1084100</v>
      </c>
      <c r="L62" s="4">
        <f t="shared" si="17"/>
        <v>0</v>
      </c>
      <c r="M62" s="4">
        <f t="shared" si="17"/>
        <v>306660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34599697</v>
      </c>
      <c r="D73" s="72">
        <f t="shared" ref="D73:P73" si="20">+D72+D69+D62</f>
        <v>31533466</v>
      </c>
      <c r="E73" s="72">
        <f t="shared" si="20"/>
        <v>162615</v>
      </c>
      <c r="F73" s="72">
        <f t="shared" si="20"/>
        <v>378214</v>
      </c>
      <c r="G73" s="72">
        <f t="shared" si="20"/>
        <v>827982</v>
      </c>
      <c r="H73" s="72">
        <f t="shared" si="20"/>
        <v>0</v>
      </c>
      <c r="I73" s="72">
        <f t="shared" si="20"/>
        <v>306660</v>
      </c>
      <c r="J73" s="72">
        <f t="shared" si="20"/>
        <v>0</v>
      </c>
      <c r="K73" s="72">
        <f t="shared" si="20"/>
        <v>1084100</v>
      </c>
      <c r="L73" s="72">
        <f t="shared" si="20"/>
        <v>0</v>
      </c>
      <c r="M73" s="72">
        <f t="shared" si="20"/>
        <v>306660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33611453</v>
      </c>
      <c r="D78" s="15">
        <f t="shared" ref="D78:P78" si="23">+D98+D105</f>
        <v>31639786</v>
      </c>
      <c r="E78" s="15">
        <f t="shared" si="23"/>
        <v>117750</v>
      </c>
      <c r="F78" s="15">
        <f t="shared" si="23"/>
        <v>381693</v>
      </c>
      <c r="G78" s="15">
        <f t="shared" si="23"/>
        <v>835599</v>
      </c>
      <c r="H78" s="15">
        <f t="shared" si="23"/>
        <v>0</v>
      </c>
      <c r="I78" s="15">
        <f t="shared" si="23"/>
        <v>309481</v>
      </c>
      <c r="J78" s="15">
        <f t="shared" si="23"/>
        <v>0</v>
      </c>
      <c r="K78" s="15">
        <f t="shared" si="23"/>
        <v>17663</v>
      </c>
      <c r="L78" s="15">
        <f t="shared" si="23"/>
        <v>0</v>
      </c>
      <c r="M78" s="15">
        <f t="shared" si="23"/>
        <v>309481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0</v>
      </c>
      <c r="D79" s="115"/>
      <c r="E79" s="115"/>
      <c r="F79" s="115"/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33611453</v>
      </c>
      <c r="D80" s="15">
        <f>+D77+D78+D79</f>
        <v>31639786</v>
      </c>
      <c r="E80" s="15">
        <f t="shared" ref="E80:P80" si="24">+E77+E78+E79</f>
        <v>117750</v>
      </c>
      <c r="F80" s="15">
        <f t="shared" si="24"/>
        <v>381693</v>
      </c>
      <c r="G80" s="15">
        <f t="shared" si="24"/>
        <v>835599</v>
      </c>
      <c r="H80" s="15">
        <f t="shared" si="24"/>
        <v>0</v>
      </c>
      <c r="I80" s="15">
        <f t="shared" si="24"/>
        <v>309481</v>
      </c>
      <c r="J80" s="15">
        <f t="shared" si="24"/>
        <v>0</v>
      </c>
      <c r="K80" s="15">
        <f t="shared" si="24"/>
        <v>17663</v>
      </c>
      <c r="L80" s="15">
        <f t="shared" si="24"/>
        <v>0</v>
      </c>
      <c r="M80" s="15">
        <f t="shared" si="24"/>
        <v>309481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33611453</v>
      </c>
      <c r="D81" s="138">
        <f>+'PLAN RASHODA I IZDATAKA'!D91</f>
        <v>31639786</v>
      </c>
      <c r="E81" s="138">
        <f>+'PLAN RASHODA I IZDATAKA'!E91</f>
        <v>17663</v>
      </c>
      <c r="F81" s="138">
        <f>+'PLAN RASHODA I IZDATAKA'!F91</f>
        <v>381693</v>
      </c>
      <c r="G81" s="138">
        <f>+'PLAN RASHODA I IZDATAKA'!G91</f>
        <v>835599</v>
      </c>
      <c r="H81" s="138">
        <f>+'PLAN RASHODA I IZDATAKA'!H91</f>
        <v>0</v>
      </c>
      <c r="I81" s="138">
        <f>+'PLAN RASHODA I IZDATAKA'!I91</f>
        <v>309481</v>
      </c>
      <c r="J81" s="138">
        <f>+'PLAN RASHODA I IZDATAKA'!J91</f>
        <v>0</v>
      </c>
      <c r="K81" s="138">
        <f>+'PLAN RASHODA I IZDATAKA'!K91</f>
        <v>117750</v>
      </c>
      <c r="L81" s="138">
        <f>+'PLAN RASHODA I IZDATAKA'!L91</f>
        <v>0</v>
      </c>
      <c r="M81" s="138">
        <f>+'PLAN RASHODA I IZDATAKA'!M91</f>
        <v>309481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100087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-100087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17663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17663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309481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309481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835599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835599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381693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381693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309481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309481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31757536</v>
      </c>
      <c r="D95" s="204">
        <f>SUMIFS('Plan prihoda za unos u SAP'!$I$3:$I$501,'Plan prihoda za unos u SAP'!$C$3:$C$501,"=11",'Plan prihoda za unos u SAP'!$K$3:$K$501,"=671")</f>
        <v>31639786</v>
      </c>
      <c r="E95" s="204">
        <f>SUMIFS('Plan prihoda za unos u SAP'!$I$3:$I$501,'Plan prihoda za unos u SAP'!$C$3:$C$501,"=12",'Plan prihoda za unos u SAP'!$K$3:$K$501,"=671")</f>
        <v>117750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33611453</v>
      </c>
      <c r="D98" s="4">
        <f t="shared" ref="D98:P98" si="28">SUM(D83:D97)</f>
        <v>31639786</v>
      </c>
      <c r="E98" s="4">
        <f t="shared" si="28"/>
        <v>117750</v>
      </c>
      <c r="F98" s="4">
        <f t="shared" si="28"/>
        <v>381693</v>
      </c>
      <c r="G98" s="4">
        <f t="shared" si="28"/>
        <v>835599</v>
      </c>
      <c r="H98" s="4">
        <f t="shared" si="28"/>
        <v>0</v>
      </c>
      <c r="I98" s="4">
        <f t="shared" si="28"/>
        <v>309481</v>
      </c>
      <c r="J98" s="4">
        <f t="shared" si="28"/>
        <v>0</v>
      </c>
      <c r="K98" s="4">
        <f t="shared" si="28"/>
        <v>17663</v>
      </c>
      <c r="L98" s="4">
        <f t="shared" si="28"/>
        <v>0</v>
      </c>
      <c r="M98" s="4">
        <f t="shared" si="28"/>
        <v>309481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33611453</v>
      </c>
      <c r="D109" s="72">
        <f t="shared" ref="D109:P109" si="31">+D108+D105+D98</f>
        <v>31639786</v>
      </c>
      <c r="E109" s="72">
        <f t="shared" si="31"/>
        <v>117750</v>
      </c>
      <c r="F109" s="72">
        <f t="shared" si="31"/>
        <v>381693</v>
      </c>
      <c r="G109" s="72">
        <f t="shared" si="31"/>
        <v>835599</v>
      </c>
      <c r="H109" s="72">
        <f t="shared" si="31"/>
        <v>0</v>
      </c>
      <c r="I109" s="72">
        <f t="shared" si="31"/>
        <v>309481</v>
      </c>
      <c r="J109" s="72">
        <f t="shared" si="31"/>
        <v>0</v>
      </c>
      <c r="K109" s="72">
        <f t="shared" si="31"/>
        <v>17663</v>
      </c>
      <c r="L109" s="72">
        <f t="shared" si="31"/>
        <v>0</v>
      </c>
      <c r="M109" s="72">
        <f t="shared" si="31"/>
        <v>309481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tabSelected="1" zoomScale="80" zoomScaleNormal="80" zoomScaleSheetLayoutView="80" workbookViewId="0">
      <pane xSplit="3" ySplit="3" topLeftCell="H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34123967</v>
      </c>
      <c r="D3" s="123">
        <f t="shared" ref="D3:P3" si="0">D4+D38+D58</f>
        <v>30096792</v>
      </c>
      <c r="E3" s="123">
        <f t="shared" si="0"/>
        <v>293110</v>
      </c>
      <c r="F3" s="123">
        <f t="shared" si="0"/>
        <v>370000</v>
      </c>
      <c r="G3" s="123">
        <f t="shared" si="0"/>
        <v>810000</v>
      </c>
      <c r="H3" s="123">
        <f t="shared" si="0"/>
        <v>0</v>
      </c>
      <c r="I3" s="123">
        <f t="shared" si="0"/>
        <v>300000</v>
      </c>
      <c r="J3" s="123">
        <f t="shared" si="0"/>
        <v>0</v>
      </c>
      <c r="K3" s="123">
        <f t="shared" si="0"/>
        <v>1954065</v>
      </c>
      <c r="L3" s="123">
        <f t="shared" si="0"/>
        <v>0</v>
      </c>
      <c r="M3" s="123">
        <f t="shared" si="0"/>
        <v>300000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33201367</v>
      </c>
      <c r="D4" s="127">
        <f>D5+D9+D15+D19+D23+D30+D33</f>
        <v>30096792</v>
      </c>
      <c r="E4" s="127">
        <f t="shared" ref="E4:P4" si="1">E5+E9+E15+E19+E23+E30+E33</f>
        <v>293110</v>
      </c>
      <c r="F4" s="127">
        <f t="shared" si="1"/>
        <v>255000</v>
      </c>
      <c r="G4" s="127">
        <f t="shared" si="1"/>
        <v>410000</v>
      </c>
      <c r="H4" s="127">
        <f t="shared" si="1"/>
        <v>0</v>
      </c>
      <c r="I4" s="127">
        <f t="shared" si="1"/>
        <v>300000</v>
      </c>
      <c r="J4" s="127">
        <f t="shared" si="1"/>
        <v>0</v>
      </c>
      <c r="K4" s="127">
        <f t="shared" si="1"/>
        <v>1546465</v>
      </c>
      <c r="L4" s="127">
        <f t="shared" si="1"/>
        <v>0</v>
      </c>
      <c r="M4" s="127">
        <f t="shared" si="1"/>
        <v>300000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26540754</v>
      </c>
      <c r="D5" s="13">
        <f>SUM(D6:D8)</f>
        <v>25975144</v>
      </c>
      <c r="E5" s="13">
        <f t="shared" ref="E5:P5" si="3">SUM(E6:E8)</f>
        <v>293110</v>
      </c>
      <c r="F5" s="13">
        <f t="shared" si="3"/>
        <v>112500</v>
      </c>
      <c r="G5" s="13">
        <f t="shared" si="3"/>
        <v>100000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60000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22057676</v>
      </c>
      <c r="D6" s="143">
        <f>SUMIFS('Plan rashoda za unos u SAP'!$I$3:$I$501,'Plan rashoda za unos u SAP'!$C$3:$C$501,"=11",'Plan rashoda za unos u SAP'!$M$3:$M$501,"=311")</f>
        <v>21609566</v>
      </c>
      <c r="E6" s="143">
        <f>SUMIFS('Plan rashoda za unos u SAP'!$I$3:$I$501,'Plan rashoda za unos u SAP'!$C$3:$C$501,"=12",'Plan rashoda za unos u SAP'!$M$3:$M$501,"=311")</f>
        <v>293110</v>
      </c>
      <c r="F6" s="143">
        <f>SUMIFS('Plan rashoda za unos u SAP'!$I$3:$I$501,'Plan rashoda za unos u SAP'!$C$3:$C$501,"=31",'Plan rashoda za unos u SAP'!$M$3:$M$501,"=311")</f>
        <v>95000</v>
      </c>
      <c r="G6" s="143">
        <f>SUMIFS('Plan rashoda za unos u SAP'!$I$3:$I$501,'Plan rashoda za unos u SAP'!$C$3:$C$501,"=43",'Plan rashoda za unos u SAP'!$M$3:$M$501,"=311")</f>
        <v>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60000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902500</v>
      </c>
      <c r="D7" s="143">
        <f>SUMIFS('Plan rashoda za unos u SAP'!$I$3:$I$501,'Plan rashoda za unos u SAP'!$C$3:$C$501,"=11",'Plan rashoda za unos u SAP'!$M$3:$M$501,"=312")</f>
        <v>800000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2500</v>
      </c>
      <c r="G7" s="143">
        <f>SUMIFS('Plan rashoda za unos u SAP'!$I$3:$I$501,'Plan rashoda za unos u SAP'!$C$3:$C$501,"=43",'Plan rashoda za unos u SAP'!$M$3:$M$501,"=312")</f>
        <v>100000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3580578</v>
      </c>
      <c r="D8" s="143">
        <f>SUMIFS('Plan rashoda za unos u SAP'!$I$3:$I$501,'Plan rashoda za unos u SAP'!$C$3:$C$501,"=11",'Plan rashoda za unos u SAP'!$M$3:$M$501,"=313")</f>
        <v>3565578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15000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6650613</v>
      </c>
      <c r="D9" s="79">
        <f t="shared" ref="D9:P9" si="4">SUM(D10:D14)</f>
        <v>4111648</v>
      </c>
      <c r="E9" s="79">
        <f t="shared" si="4"/>
        <v>0</v>
      </c>
      <c r="F9" s="79">
        <f t="shared" si="4"/>
        <v>142500</v>
      </c>
      <c r="G9" s="79">
        <f t="shared" si="4"/>
        <v>310000</v>
      </c>
      <c r="H9" s="79">
        <f t="shared" si="4"/>
        <v>0</v>
      </c>
      <c r="I9" s="79">
        <f t="shared" si="4"/>
        <v>300000</v>
      </c>
      <c r="J9" s="79">
        <f t="shared" si="4"/>
        <v>0</v>
      </c>
      <c r="K9" s="79">
        <f t="shared" si="4"/>
        <v>1486465</v>
      </c>
      <c r="L9" s="79">
        <f t="shared" si="4"/>
        <v>0</v>
      </c>
      <c r="M9" s="79">
        <f t="shared" si="4"/>
        <v>300000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861355</v>
      </c>
      <c r="D10" s="143">
        <f>SUMIFS('Plan rashoda za unos u SAP'!$I$3:$I$501,'Plan rashoda za unos u SAP'!$C$3:$C$501,"=11",'Plan rashoda za unos u SAP'!$M$3:$M$501,"=321")</f>
        <v>781355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70000</v>
      </c>
      <c r="G10" s="143">
        <f>SUMIFS('Plan rashoda za unos u SAP'!$I$3:$I$501,'Plan rashoda za unos u SAP'!$C$3:$C$501,"=43",'Plan rashoda za unos u SAP'!$M$3:$M$501,"=321")</f>
        <v>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10000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1329500</v>
      </c>
      <c r="D11" s="143">
        <f>SUMIFS('Plan rashoda za unos u SAP'!$I$3:$I$501,'Plan rashoda za unos u SAP'!$C$3:$C$501,"=11",'Plan rashoda za unos u SAP'!$M$3:$M$501,"=322")</f>
        <v>837000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72500</v>
      </c>
      <c r="G11" s="143">
        <f>SUMIFS('Plan rashoda za unos u SAP'!$I$3:$I$501,'Plan rashoda za unos u SAP'!$C$3:$C$501,"=43",'Plan rashoda za unos u SAP'!$M$3:$M$501,"=322")</f>
        <v>200000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10000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210000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4359758</v>
      </c>
      <c r="D12" s="143">
        <f>SUMIFS('Plan rashoda za unos u SAP'!$I$3:$I$501,'Plan rashoda za unos u SAP'!$C$3:$C$501,"=11",'Plan rashoda za unos u SAP'!$M$3:$M$501,"=323")</f>
        <v>2393293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0</v>
      </c>
      <c r="G12" s="143">
        <f>SUMIFS('Plan rashoda za unos u SAP'!$I$3:$I$501,'Plan rashoda za unos u SAP'!$C$3:$C$501,"=43",'Plan rashoda za unos u SAP'!$M$3:$M$501,"=323")</f>
        <v>110000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280000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1486465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90000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100000</v>
      </c>
      <c r="D14" s="143">
        <f>SUMIFS('Plan rashoda za unos u SAP'!$I$3:$I$501,'Plan rashoda za unos u SAP'!$C$3:$C$501,"=11",'Plan rashoda za unos u SAP'!$M$3:$M$501,"=329")</f>
        <v>100000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0</v>
      </c>
      <c r="G14" s="143">
        <f>SUMIFS('Plan rashoda za unos u SAP'!$I$3:$I$501,'Plan rashoda za unos u SAP'!$C$3:$C$501,"=43",'Plan rashoda za unos u SAP'!$M$3:$M$501,"=329")</f>
        <v>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10000</v>
      </c>
      <c r="D15" s="4">
        <f t="shared" ref="D15:P15" si="5">SUM(D16:D18)</f>
        <v>10000</v>
      </c>
      <c r="E15" s="4">
        <f t="shared" si="5"/>
        <v>0</v>
      </c>
      <c r="F15" s="4">
        <f t="shared" si="5"/>
        <v>0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10000</v>
      </c>
      <c r="D18" s="143">
        <f>SUMIFS('Plan rashoda za unos u SAP'!$I$3:$I$501,'Plan rashoda za unos u SAP'!$C$3:$C$501,"=11",'Plan rashoda za unos u SAP'!$M$3:$M$501,"=343")</f>
        <v>10000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922600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115000</v>
      </c>
      <c r="G38" s="128">
        <f t="shared" si="10"/>
        <v>400000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407600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922600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115000</v>
      </c>
      <c r="G42" s="4">
        <f t="shared" si="12"/>
        <v>400000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407600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902600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115000</v>
      </c>
      <c r="G44" s="143">
        <f>SUMIFS('Plan rashoda za unos u SAP'!$I$3:$I$501,'Plan rashoda za unos u SAP'!$C$3:$C$501,"=43",'Plan rashoda za unos u SAP'!$M$3:$M$501,"=422")</f>
        <v>380000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407600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20000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20000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34599697</v>
      </c>
      <c r="D71" s="123">
        <f t="shared" ref="D71:P71" si="21">+D72+D80+D86</f>
        <v>31533466</v>
      </c>
      <c r="E71" s="123">
        <f t="shared" si="21"/>
        <v>162615</v>
      </c>
      <c r="F71" s="123">
        <f t="shared" si="21"/>
        <v>378214</v>
      </c>
      <c r="G71" s="123">
        <f t="shared" si="21"/>
        <v>827982</v>
      </c>
      <c r="H71" s="123">
        <f t="shared" si="21"/>
        <v>0</v>
      </c>
      <c r="I71" s="123">
        <f t="shared" si="21"/>
        <v>306660</v>
      </c>
      <c r="J71" s="123">
        <f t="shared" si="21"/>
        <v>0</v>
      </c>
      <c r="K71" s="123">
        <f t="shared" si="21"/>
        <v>1084100</v>
      </c>
      <c r="L71" s="123">
        <f t="shared" si="21"/>
        <v>0</v>
      </c>
      <c r="M71" s="123">
        <f t="shared" si="21"/>
        <v>306660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34073264</v>
      </c>
      <c r="D72" s="132">
        <f t="shared" ref="D72:P72" si="22">SUM(D73:D79)</f>
        <v>31533466</v>
      </c>
      <c r="E72" s="132">
        <f t="shared" si="22"/>
        <v>162615</v>
      </c>
      <c r="F72" s="132">
        <f t="shared" si="22"/>
        <v>260661</v>
      </c>
      <c r="G72" s="132">
        <f t="shared" si="22"/>
        <v>419102</v>
      </c>
      <c r="H72" s="132">
        <f t="shared" si="22"/>
        <v>0</v>
      </c>
      <c r="I72" s="132">
        <f t="shared" si="22"/>
        <v>306660</v>
      </c>
      <c r="J72" s="132">
        <f t="shared" si="22"/>
        <v>0</v>
      </c>
      <c r="K72" s="132">
        <f t="shared" si="22"/>
        <v>1084100</v>
      </c>
      <c r="L72" s="132">
        <f t="shared" si="22"/>
        <v>0</v>
      </c>
      <c r="M72" s="132">
        <f t="shared" si="22"/>
        <v>306660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27760381</v>
      </c>
      <c r="D73" s="143">
        <f>SUMIFS('Plan rashoda za unos u SAP'!$J$3:$J$501,'Plan rashoda za unos u SAP'!$C$3:$C$501,"=11",'Plan rashoda za unos u SAP'!$N$3:$N$501,"=31")</f>
        <v>27320549</v>
      </c>
      <c r="E73" s="143">
        <f>SUMIFS('Plan rashoda za unos u SAP'!$J$3:$J$501,'Plan rashoda za unos u SAP'!$C$3:$C$501,"=12",'Plan rashoda za unos u SAP'!$N$3:$N$501,"=31")</f>
        <v>162615</v>
      </c>
      <c r="F73" s="143">
        <f>SUMIFS('Plan rashoda za unos u SAP'!$J$3:$J$501,'Plan rashoda za unos u SAP'!$C$3:$C$501,"=31",'Plan rashoda za unos u SAP'!$N$3:$N$501,"=31")</f>
        <v>114997</v>
      </c>
      <c r="G73" s="143">
        <f>SUMIFS('Plan rashoda za unos u SAP'!$J$3:$J$501,'Plan rashoda za unos u SAP'!$C$3:$C$501,"=43",'Plan rashoda za unos u SAP'!$N$3:$N$501,"=31")</f>
        <v>102220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60000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6302662</v>
      </c>
      <c r="D74" s="143">
        <f>SUMIFS('Plan rashoda za unos u SAP'!$J$3:$J$501,'Plan rashoda za unos u SAP'!$C$3:$C$501,"=11",'Plan rashoda za unos u SAP'!$N$3:$N$501,"=32")</f>
        <v>4202696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145664</v>
      </c>
      <c r="G74" s="143">
        <f>SUMIFS('Plan rashoda za unos u SAP'!$J$3:$J$501,'Plan rashoda za unos u SAP'!$C$3:$C$501,"=43",'Plan rashoda za unos u SAP'!$N$3:$N$501,"=32")</f>
        <v>316882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306660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1024100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306660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10221</v>
      </c>
      <c r="D75" s="143">
        <f>SUMIFS('Plan rashoda za unos u SAP'!$J$3:$J$501,'Plan rashoda za unos u SAP'!$C$3:$C$501,"=11",'Plan rashoda za unos u SAP'!$N$3:$N$501,"=34")</f>
        <v>10221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526433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117553</v>
      </c>
      <c r="G80" s="133">
        <f t="shared" si="24"/>
        <v>408880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526433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117553</v>
      </c>
      <c r="G82" s="143">
        <f>SUMIFS('Plan rashoda za unos u SAP'!$J$3:$J$501,'Plan rashoda za unos u SAP'!$C$3:$C$501,"=43",'Plan rashoda za unos u SAP'!$N$3:$N$501,"=42")</f>
        <v>408880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33611453</v>
      </c>
      <c r="D91" s="123">
        <f t="shared" ref="D91:P91" si="27">D92+D100+D106</f>
        <v>31639786</v>
      </c>
      <c r="E91" s="123">
        <f t="shared" si="27"/>
        <v>17663</v>
      </c>
      <c r="F91" s="123">
        <f t="shared" si="27"/>
        <v>381693</v>
      </c>
      <c r="G91" s="123">
        <f t="shared" si="27"/>
        <v>835599</v>
      </c>
      <c r="H91" s="123">
        <f t="shared" si="27"/>
        <v>0</v>
      </c>
      <c r="I91" s="123">
        <f t="shared" si="27"/>
        <v>309481</v>
      </c>
      <c r="J91" s="123">
        <f t="shared" si="27"/>
        <v>0</v>
      </c>
      <c r="K91" s="123">
        <f t="shared" si="27"/>
        <v>117750</v>
      </c>
      <c r="L91" s="123">
        <f t="shared" si="27"/>
        <v>0</v>
      </c>
      <c r="M91" s="123">
        <f t="shared" si="27"/>
        <v>309481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33080178</v>
      </c>
      <c r="D92" s="132">
        <f t="shared" ref="D92:P92" si="28">SUM(D93:D99)</f>
        <v>31639786</v>
      </c>
      <c r="E92" s="132">
        <f t="shared" si="28"/>
        <v>17663</v>
      </c>
      <c r="F92" s="132">
        <f t="shared" si="28"/>
        <v>263059</v>
      </c>
      <c r="G92" s="132">
        <f t="shared" si="28"/>
        <v>422958</v>
      </c>
      <c r="H92" s="132">
        <f t="shared" si="28"/>
        <v>0</v>
      </c>
      <c r="I92" s="132">
        <f t="shared" si="28"/>
        <v>309481</v>
      </c>
      <c r="J92" s="132">
        <f t="shared" si="28"/>
        <v>0</v>
      </c>
      <c r="K92" s="132">
        <f t="shared" si="28"/>
        <v>117750</v>
      </c>
      <c r="L92" s="132">
        <f t="shared" si="28"/>
        <v>0</v>
      </c>
      <c r="M92" s="132">
        <f t="shared" si="28"/>
        <v>309481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27635079</v>
      </c>
      <c r="D93" s="143">
        <f>SUMIFS('Plan rashoda za unos u SAP'!$K$3:$K$501,'Plan rashoda za unos u SAP'!$C$3:$C$501,"=11",'Plan rashoda za unos u SAP'!$N$3:$N$501,"=31")</f>
        <v>27388201</v>
      </c>
      <c r="E93" s="143">
        <f>SUMIFS('Plan rashoda za unos u SAP'!$K$3:$K$501,'Plan rashoda za unos u SAP'!$C$3:$C$501,"=12",'Plan rashoda za unos u SAP'!$N$3:$N$501,"=31")</f>
        <v>17663</v>
      </c>
      <c r="F93" s="143">
        <f>SUMIFS('Plan rashoda za unos u SAP'!$K$3:$K$501,'Plan rashoda za unos u SAP'!$C$3:$C$501,"=31",'Plan rashoda za unos u SAP'!$N$3:$N$501,"=31")</f>
        <v>116055</v>
      </c>
      <c r="G93" s="143">
        <f>SUMIFS('Plan rashoda za unos u SAP'!$K$3:$K$501,'Plan rashoda za unos u SAP'!$C$3:$C$501,"=43",'Plan rashoda za unos u SAP'!$N$3:$N$501,"=31")</f>
        <v>103160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10000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5434784</v>
      </c>
      <c r="D94" s="143">
        <f>SUMIFS('Plan rashoda za unos u SAP'!$K$3:$K$501,'Plan rashoda za unos u SAP'!$C$3:$C$501,"=11",'Plan rashoda za unos u SAP'!$N$3:$N$501,"=32")</f>
        <v>4241270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147004</v>
      </c>
      <c r="G94" s="143">
        <f>SUMIFS('Plan rashoda za unos u SAP'!$K$3:$K$501,'Plan rashoda za unos u SAP'!$C$3:$C$501,"=43",'Plan rashoda za unos u SAP'!$N$3:$N$501,"=32")</f>
        <v>319798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309481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107750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309481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10315</v>
      </c>
      <c r="D95" s="143">
        <f>SUMIFS('Plan rashoda za unos u SAP'!$K$3:$K$501,'Plan rashoda za unos u SAP'!$C$3:$C$501,"=11",'Plan rashoda za unos u SAP'!$N$3:$N$501,"=34")</f>
        <v>10315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531275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118634</v>
      </c>
      <c r="G100" s="133">
        <f t="shared" si="30"/>
        <v>412641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531275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118634</v>
      </c>
      <c r="G102" s="143">
        <f>SUMIFS('Plan rashoda za unos u SAP'!$K$3:$K$501,'Plan rashoda za unos u SAP'!$C$3:$C$501,"=43",'Plan rashoda za unos u SAP'!$N$3:$N$501,"=42")</f>
        <v>412641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11" sqref="A11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561</v>
      </c>
      <c r="B3" s="149" t="str">
        <f>IFERROR(VLOOKUP(A3,$R$6:$S$16,2,FALSE),"")</f>
        <v>Europski socijalni fond (ESF)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1203</v>
      </c>
      <c r="F3" s="149" t="str">
        <f>IFERROR(VLOOKUP(E3,$AA$6:$AB$200,2,FALSE),"")</f>
        <v>Provedba HKO-a na razini visokog obrazovanja</v>
      </c>
      <c r="G3" s="198">
        <v>60000</v>
      </c>
      <c r="H3" s="198">
        <v>60000</v>
      </c>
      <c r="I3" s="198">
        <v>10000</v>
      </c>
      <c r="J3" s="226"/>
      <c r="K3" s="225"/>
      <c r="L3" s="225"/>
      <c r="M3" s="226"/>
      <c r="N3" s="226"/>
      <c r="P3" s="144" t="str">
        <f>LEFT(C3,3)</f>
        <v>311</v>
      </c>
      <c r="Q3" s="144" t="str">
        <f>LEFT(C3,2)</f>
        <v>31</v>
      </c>
    </row>
    <row r="4" spans="1:28">
      <c r="A4" s="154">
        <v>561</v>
      </c>
      <c r="B4" s="149" t="str">
        <f t="shared" ref="B4:B67" si="1">IFERROR(VLOOKUP(A4,$R$6:$S$16,2,FALSE),"")</f>
        <v>Europski socijalni fond (ESF)</v>
      </c>
      <c r="C4" s="154">
        <v>3237</v>
      </c>
      <c r="D4" s="149" t="str">
        <f t="shared" si="0"/>
        <v>Intelektualne i osobne usluge</v>
      </c>
      <c r="E4" s="201" t="s">
        <v>1203</v>
      </c>
      <c r="F4" s="149" t="str">
        <f t="shared" ref="F4:F67" si="2">IFERROR(VLOOKUP(E4,$AA$6:$AB$200,2,FALSE),"")</f>
        <v>Provedba HKO-a na razini visokog obrazovanja</v>
      </c>
      <c r="G4" s="198">
        <v>850465</v>
      </c>
      <c r="H4" s="198">
        <v>459300</v>
      </c>
      <c r="I4" s="198">
        <v>7750</v>
      </c>
      <c r="J4" s="226"/>
      <c r="K4" s="225"/>
      <c r="L4" s="225"/>
      <c r="M4" s="226"/>
      <c r="N4" s="226"/>
      <c r="P4" s="144" t="str">
        <f t="shared" ref="P4:P67" si="3">LEFT(C4,3)</f>
        <v>323</v>
      </c>
      <c r="Q4" s="144" t="str">
        <f t="shared" ref="Q4:Q67" si="4">LEFT(C4,2)</f>
        <v>32</v>
      </c>
      <c r="U4" s="150"/>
      <c r="V4" s="150"/>
    </row>
    <row r="5" spans="1:28">
      <c r="A5" s="154">
        <v>561</v>
      </c>
      <c r="B5" s="149" t="str">
        <f t="shared" si="1"/>
        <v>Europski socijalni fond (ESF)</v>
      </c>
      <c r="C5" s="154">
        <v>3239</v>
      </c>
      <c r="D5" s="149" t="str">
        <f t="shared" si="0"/>
        <v>Ostale usluge</v>
      </c>
      <c r="E5" s="201" t="s">
        <v>1203</v>
      </c>
      <c r="F5" s="149" t="str">
        <f t="shared" si="2"/>
        <v>Provedba HKO-a na razini visokog obrazovanja</v>
      </c>
      <c r="G5" s="198">
        <v>536000</v>
      </c>
      <c r="H5" s="198">
        <v>564800</v>
      </c>
      <c r="I5" s="198">
        <v>100000</v>
      </c>
      <c r="J5" s="226"/>
      <c r="K5" s="225"/>
      <c r="L5" s="225"/>
      <c r="M5" s="226"/>
      <c r="N5" s="226"/>
      <c r="P5" s="144" t="str">
        <f t="shared" si="3"/>
        <v>323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561</v>
      </c>
      <c r="B6" s="149" t="str">
        <f t="shared" si="1"/>
        <v>Europski socijalni fond (ESF)</v>
      </c>
      <c r="C6" s="154">
        <v>4221</v>
      </c>
      <c r="D6" s="149" t="str">
        <f t="shared" si="0"/>
        <v>Uredska oprema i namještaj</v>
      </c>
      <c r="E6" s="201" t="s">
        <v>1203</v>
      </c>
      <c r="F6" s="149" t="str">
        <f t="shared" si="2"/>
        <v>Provedba HKO-a na razini visokog obrazovanja</v>
      </c>
      <c r="G6" s="198">
        <v>407600</v>
      </c>
      <c r="H6" s="198">
        <v>0</v>
      </c>
      <c r="I6" s="198">
        <v>0</v>
      </c>
      <c r="J6" s="226"/>
      <c r="K6" s="225"/>
      <c r="L6" s="225"/>
      <c r="M6" s="226"/>
      <c r="N6" s="226"/>
      <c r="P6" s="144" t="str">
        <f t="shared" si="3"/>
        <v>422</v>
      </c>
      <c r="Q6" s="144" t="str">
        <f t="shared" si="4"/>
        <v>42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12</v>
      </c>
      <c r="B7" s="149" t="str">
        <f t="shared" si="1"/>
        <v>Sredstva učešća za pomoći</v>
      </c>
      <c r="C7" s="154">
        <v>3111</v>
      </c>
      <c r="D7" s="149" t="str">
        <f t="shared" si="0"/>
        <v>Plaće za redovan rad</v>
      </c>
      <c r="E7" s="201" t="s">
        <v>1203</v>
      </c>
      <c r="F7" s="149" t="str">
        <f t="shared" si="2"/>
        <v>Provedba HKO-a na razini visokog obrazovanja</v>
      </c>
      <c r="G7" s="198">
        <v>278110</v>
      </c>
      <c r="H7" s="198">
        <v>162615</v>
      </c>
      <c r="I7" s="198">
        <v>17663</v>
      </c>
      <c r="J7" s="226"/>
      <c r="K7" s="225"/>
      <c r="L7" s="225"/>
      <c r="M7" s="226"/>
      <c r="N7" s="226"/>
      <c r="P7" s="144" t="str">
        <f t="shared" si="3"/>
        <v>311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40" workbookViewId="0">
      <selection activeCell="B47" sqref="B47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172" workbookViewId="0">
      <selection activeCell="A200" sqref="A200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2019-12-05T11:32:34Z</cp:lastPrinted>
  <dcterms:created xsi:type="dcterms:W3CDTF">2018-09-10T07:36:17Z</dcterms:created>
  <dcterms:modified xsi:type="dcterms:W3CDTF">2019-12-05T11:33:16Z</dcterms:modified>
</cp:coreProperties>
</file>